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57\Desktop\"/>
    </mc:Choice>
  </mc:AlternateContent>
  <xr:revisionPtr revIDLastSave="0" documentId="13_ncr:1_{DB462741-2B05-4F49-89B9-52324D8D41AF}" xr6:coauthVersionLast="47" xr6:coauthVersionMax="47" xr10:uidLastSave="{00000000-0000-0000-0000-000000000000}"/>
  <bookViews>
    <workbookView xWindow="-120" yWindow="-120" windowWidth="29040" windowHeight="15840" xr2:uid="{8A86E3DD-71F0-48CA-A3EA-4B1399FC1A2B}"/>
  </bookViews>
  <sheets>
    <sheet name="مفروضات" sheetId="1" r:id="rId1"/>
    <sheet name="تولید و فروش" sheetId="2" r:id="rId2"/>
    <sheet name="بهای تمام شده" sheetId="4" r:id="rId3"/>
    <sheet name="سودوزیان" sheetId="3" r:id="rId4"/>
    <sheet name="هزینه انرژی" sheetId="5" r:id="rId5"/>
  </sheets>
  <definedNames>
    <definedName name="_xlnm.Print_Area" localSheetId="4">'هزینه انرژی'!$A$1:$D$27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5" l="1"/>
  <c r="D25" i="5" s="1"/>
  <c r="D12" i="5"/>
  <c r="D24" i="5" s="1"/>
  <c r="C24" i="5"/>
  <c r="C27" i="5"/>
  <c r="C25" i="5"/>
  <c r="C4" i="5"/>
  <c r="C7" i="5"/>
  <c r="D7" i="5"/>
  <c r="D6" i="5"/>
  <c r="C8" i="5"/>
  <c r="C5" i="5" s="1"/>
  <c r="D20" i="5"/>
  <c r="D19" i="5"/>
  <c r="D18" i="5"/>
  <c r="D8" i="5"/>
  <c r="F26" i="2"/>
  <c r="J26" i="2"/>
  <c r="B9" i="3"/>
  <c r="B13" i="3"/>
  <c r="B17" i="3" s="1"/>
  <c r="D26" i="5" l="1"/>
  <c r="D5" i="5"/>
  <c r="D4" i="5"/>
  <c r="B5" i="3" l="1"/>
  <c r="B2" i="3"/>
  <c r="C36" i="4"/>
  <c r="B38" i="4"/>
  <c r="B34" i="4"/>
  <c r="C25" i="4"/>
  <c r="C22" i="4"/>
  <c r="B22" i="4"/>
  <c r="B21" i="4"/>
  <c r="B20" i="4"/>
  <c r="B16" i="4"/>
  <c r="C21" i="4"/>
  <c r="C20" i="4"/>
  <c r="C16" i="4"/>
  <c r="C6" i="4"/>
  <c r="B6" i="4"/>
  <c r="D14" i="2"/>
  <c r="E12" i="2" s="1"/>
  <c r="I12" i="2" s="1"/>
  <c r="H12" i="2" s="1"/>
  <c r="J30" i="2"/>
  <c r="F18" i="2"/>
  <c r="J18" i="2" s="1"/>
  <c r="J33" i="2"/>
  <c r="J34" i="2"/>
  <c r="J32" i="2"/>
  <c r="J31" i="2"/>
  <c r="J29" i="2"/>
  <c r="J28" i="2"/>
  <c r="J27" i="2"/>
  <c r="J25" i="2"/>
  <c r="J24" i="2"/>
  <c r="J23" i="2"/>
  <c r="J22" i="2"/>
  <c r="J21" i="2"/>
  <c r="J20" i="2"/>
  <c r="J19" i="2"/>
  <c r="C2" i="1"/>
  <c r="H35" i="2"/>
  <c r="D35" i="2"/>
  <c r="B15" i="4" s="1"/>
  <c r="C15" i="4" s="1"/>
  <c r="G35" i="2"/>
  <c r="F34" i="2"/>
  <c r="F33" i="2"/>
  <c r="F32" i="2"/>
  <c r="F23" i="2"/>
  <c r="F24" i="2"/>
  <c r="F25" i="2"/>
  <c r="F27" i="2"/>
  <c r="E25" i="2" l="1"/>
  <c r="I25" i="2" s="1"/>
  <c r="H25" i="2" s="1"/>
  <c r="E33" i="2"/>
  <c r="I33" i="2" s="1"/>
  <c r="H33" i="2" s="1"/>
  <c r="E19" i="2"/>
  <c r="I19" i="2" s="1"/>
  <c r="H19" i="2" s="1"/>
  <c r="E23" i="2"/>
  <c r="I23" i="2" s="1"/>
  <c r="H23" i="2" s="1"/>
  <c r="K23" i="2" s="1"/>
  <c r="E27" i="2"/>
  <c r="I27" i="2" s="1"/>
  <c r="H27" i="2" s="1"/>
  <c r="K27" i="2" s="1"/>
  <c r="E31" i="2"/>
  <c r="I31" i="2" s="1"/>
  <c r="H31" i="2" s="1"/>
  <c r="K31" i="2" s="1"/>
  <c r="B14" i="4"/>
  <c r="C3" i="4" s="1"/>
  <c r="E20" i="2"/>
  <c r="I20" i="2" s="1"/>
  <c r="H20" i="2" s="1"/>
  <c r="K20" i="2" s="1"/>
  <c r="E24" i="2"/>
  <c r="I24" i="2" s="1"/>
  <c r="H24" i="2" s="1"/>
  <c r="K24" i="2" s="1"/>
  <c r="E28" i="2"/>
  <c r="I28" i="2" s="1"/>
  <c r="H28" i="2" s="1"/>
  <c r="K28" i="2" s="1"/>
  <c r="E32" i="2"/>
  <c r="I32" i="2" s="1"/>
  <c r="H32" i="2" s="1"/>
  <c r="K32" i="2" s="1"/>
  <c r="K25" i="2"/>
  <c r="K33" i="2"/>
  <c r="C8" i="4"/>
  <c r="E21" i="2"/>
  <c r="I21" i="2" s="1"/>
  <c r="H21" i="2" s="1"/>
  <c r="K21" i="2" s="1"/>
  <c r="E29" i="2"/>
  <c r="I29" i="2" s="1"/>
  <c r="H29" i="2" s="1"/>
  <c r="K29" i="2" s="1"/>
  <c r="E18" i="2"/>
  <c r="I18" i="2" s="1"/>
  <c r="H18" i="2" s="1"/>
  <c r="K18" i="2" s="1"/>
  <c r="E22" i="2"/>
  <c r="I22" i="2" s="1"/>
  <c r="H22" i="2" s="1"/>
  <c r="K22" i="2" s="1"/>
  <c r="E26" i="2"/>
  <c r="I26" i="2" s="1"/>
  <c r="H26" i="2" s="1"/>
  <c r="K26" i="2" s="1"/>
  <c r="E30" i="2"/>
  <c r="I30" i="2" s="1"/>
  <c r="H30" i="2" s="1"/>
  <c r="K30" i="2" s="1"/>
  <c r="E34" i="2"/>
  <c r="I34" i="2" s="1"/>
  <c r="H34" i="2" s="1"/>
  <c r="K34" i="2" s="1"/>
  <c r="K19" i="2"/>
  <c r="C26" i="4"/>
  <c r="C27" i="4"/>
  <c r="C10" i="4" s="1"/>
  <c r="C4" i="4"/>
  <c r="C9" i="4" s="1"/>
  <c r="E4" i="2"/>
  <c r="I4" i="2" s="1"/>
  <c r="H4" i="2" s="1"/>
  <c r="E11" i="2"/>
  <c r="I11" i="2" s="1"/>
  <c r="H11" i="2" s="1"/>
  <c r="E13" i="2"/>
  <c r="I13" i="2" s="1"/>
  <c r="H13" i="2" s="1"/>
  <c r="E10" i="2"/>
  <c r="I10" i="2" s="1"/>
  <c r="H10" i="2" s="1"/>
  <c r="C14" i="4" l="1"/>
  <c r="C5" i="3"/>
  <c r="F28" i="2" l="1"/>
  <c r="F19" i="2"/>
  <c r="F20" i="2"/>
  <c r="F21" i="2"/>
  <c r="F22" i="2"/>
  <c r="F29" i="2"/>
  <c r="F30" i="2"/>
  <c r="F31" i="2"/>
  <c r="B11" i="4"/>
  <c r="K35" i="2" l="1"/>
  <c r="C2" i="3" s="1"/>
  <c r="E5" i="2" l="1"/>
  <c r="I5" i="2" s="1"/>
  <c r="H5" i="2" s="1"/>
  <c r="E8" i="2"/>
  <c r="I8" i="2" s="1"/>
  <c r="H8" i="2" s="1"/>
  <c r="E6" i="2"/>
  <c r="I6" i="2" s="1"/>
  <c r="H6" i="2" s="1"/>
  <c r="E7" i="2"/>
  <c r="I7" i="2" s="1"/>
  <c r="H7" i="2" s="1"/>
  <c r="E9" i="2"/>
  <c r="I9" i="2" s="1"/>
  <c r="H9" i="2" s="1"/>
  <c r="E1" i="1" l="1"/>
  <c r="B3" i="3" l="1"/>
  <c r="B4" i="3" l="1"/>
  <c r="B20" i="3" l="1"/>
  <c r="C11" i="4" l="1"/>
  <c r="C34" i="4" s="1"/>
  <c r="C38" i="4" l="1"/>
  <c r="C3" i="3" s="1"/>
  <c r="C4" i="3" s="1"/>
  <c r="C9" i="3" s="1"/>
  <c r="C13" i="3" s="1"/>
  <c r="C17" i="3" l="1"/>
  <c r="C20" i="3" s="1"/>
  <c r="C9" i="1" l="1"/>
  <c r="F2" i="1" s="1"/>
</calcChain>
</file>

<file path=xl/sharedStrings.xml><?xml version="1.0" encoding="utf-8"?>
<sst xmlns="http://schemas.openxmlformats.org/spreadsheetml/2006/main" count="241" uniqueCount="94">
  <si>
    <t>شرح</t>
  </si>
  <si>
    <t>واحد</t>
  </si>
  <si>
    <t>شرح محصول</t>
  </si>
  <si>
    <t>تن</t>
  </si>
  <si>
    <t>عنوان</t>
  </si>
  <si>
    <t>تولید</t>
  </si>
  <si>
    <t>جمع</t>
  </si>
  <si>
    <t>فروش</t>
  </si>
  <si>
    <t>نرخ فروش</t>
  </si>
  <si>
    <t>مبلغ فروش</t>
  </si>
  <si>
    <t>-</t>
  </si>
  <si>
    <t>نسبت تولید
 به کل تولید</t>
  </si>
  <si>
    <t>نسبت فروش
 به کل فروش</t>
  </si>
  <si>
    <t>فروش
داخلی</t>
  </si>
  <si>
    <t>فروش صادراتی</t>
  </si>
  <si>
    <t>سال 1402</t>
  </si>
  <si>
    <t>سال 1403</t>
  </si>
  <si>
    <t>ریال</t>
  </si>
  <si>
    <t>مبلغ</t>
  </si>
  <si>
    <t>تحلیل سود سالیانه/سال 1403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</si>
  <si>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</si>
  <si>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</si>
  <si>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</si>
  <si>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</si>
  <si>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</si>
  <si>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</si>
  <si>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</si>
  <si>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</si>
  <si>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</si>
  <si>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</si>
  <si>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</si>
  <si>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</si>
  <si>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</si>
  <si>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</si>
  <si>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</si>
  <si>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</si>
  <si>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</si>
  <si>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</si>
  <si>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</si>
  <si>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</si>
  <si>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</si>
  <si>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سال1402</t>
  </si>
  <si>
    <t>سال1403</t>
  </si>
  <si>
    <r>
      <rPr>
        <b/>
        <sz val="15"/>
        <color theme="1"/>
        <rFont val="Calibri"/>
        <family val="2"/>
        <scheme val="minor"/>
      </rPr>
      <t>1-</t>
    </r>
    <r>
      <rPr>
        <b/>
        <sz val="11"/>
        <color theme="1"/>
        <rFont val="Calibri"/>
        <family val="2"/>
        <scheme val="minor"/>
      </rPr>
      <t xml:space="preserve"> جمع هزینه مواد مصرفی</t>
    </r>
  </si>
  <si>
    <t>هزینه های اداری و عمومی</t>
  </si>
  <si>
    <t>2-دستمزد مستقیم</t>
  </si>
  <si>
    <t>3- سربار</t>
  </si>
  <si>
    <t>جمع بهای تولید</t>
  </si>
  <si>
    <t>ساخته شده ابتدای دوره</t>
  </si>
  <si>
    <t>ساخته شده پایان دوره</t>
  </si>
  <si>
    <t>بهای تمام شده کالای فروش رفته</t>
  </si>
  <si>
    <t>نرخ میانگین مصرف مواد اولیه</t>
  </si>
  <si>
    <t>جمع مواد مصرفی</t>
  </si>
  <si>
    <t>مبلغ مصرف مواد اولیه</t>
  </si>
  <si>
    <t>ضریب مصرف مواد اولیه به تولید</t>
  </si>
  <si>
    <t>سربار</t>
  </si>
  <si>
    <t>دستمزد مستقیم</t>
  </si>
  <si>
    <t>مقدار تولید</t>
  </si>
  <si>
    <t>دلار</t>
  </si>
  <si>
    <t>خالص کالای درجریان ساخت</t>
  </si>
  <si>
    <t>نرخ دلار نیما</t>
  </si>
  <si>
    <t>نرخ روغن پایه</t>
  </si>
  <si>
    <t>نرخ  دلار نیما</t>
  </si>
  <si>
    <t>نرخ لوب کات</t>
  </si>
  <si>
    <t>نرخ گاز</t>
  </si>
  <si>
    <t>نرخ برق</t>
  </si>
  <si>
    <t>روغن موتور بنزینی</t>
  </si>
  <si>
    <t>روغن موتور دیزلی</t>
  </si>
  <si>
    <t>سایر روغن موتوری</t>
  </si>
  <si>
    <t>روغن صنعتی</t>
  </si>
  <si>
    <t>گریس</t>
  </si>
  <si>
    <t>ضد یخ</t>
  </si>
  <si>
    <t>اسلاک واک</t>
  </si>
  <si>
    <t>روغن فرآیند</t>
  </si>
  <si>
    <t xml:space="preserve">روغن پایه </t>
  </si>
  <si>
    <t>پارافین</t>
  </si>
  <si>
    <t>تحلیل حساسیت شرکت شسپا</t>
  </si>
  <si>
    <t>لوب کات</t>
  </si>
  <si>
    <t>آيزروسايکل</t>
  </si>
  <si>
    <t>ساير مواد افزودني، بسته بندي و ملزومات</t>
  </si>
  <si>
    <t>نسبت نرخ مواد اولیه به لوب کات</t>
  </si>
  <si>
    <t>مقدار مصرف مواد اولیه</t>
  </si>
  <si>
    <t xml:space="preserve"> مقدار کل برق و گاز مصرفی</t>
  </si>
  <si>
    <t xml:space="preserve">برق </t>
  </si>
  <si>
    <t xml:space="preserve">مگاوات ساعت </t>
  </si>
  <si>
    <t xml:space="preserve">گاز طبیعی </t>
  </si>
  <si>
    <t xml:space="preserve">مترمکعب </t>
  </si>
  <si>
    <t>کل تولید</t>
  </si>
  <si>
    <t>نرخ</t>
  </si>
  <si>
    <t>ضریب مصرف</t>
  </si>
  <si>
    <t>م-ر</t>
  </si>
  <si>
    <t>سایر</t>
  </si>
  <si>
    <t>جمع کل</t>
  </si>
  <si>
    <t xml:space="preserve"> مصرف -مبلغ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</si>
</sst>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0_);[Red]\(0\)"/>
    <numFmt numFmtId="166" formatCode="[$-3000401]#,##0"/>
    <numFmt numFmtId="167" formatCode="0.0000%"/>
    <numFmt numFmtId="168" formatCode="[$-3000401]0"/>
    <numFmt numFmtId="169" formatCode="[$-3000401]#,##0.0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 zar"/>
      <charset val="178"/>
    </font>
    <font>
      <sz val="11"/>
      <color theme="1"/>
      <name val="B zar"/>
      <charset val="178"/>
    </font>
    <font>
      <sz val="11"/>
      <color theme="0"/>
      <name val="B Nazanin"/>
      <charset val="178"/>
    </font>
    <font>
      <b/>
      <sz val="14"/>
      <color theme="1"/>
      <name val="B Nazanin"/>
      <charset val="178"/>
    </font>
    <font>
      <b/>
      <sz val="13"/>
      <color theme="1"/>
      <name val="B zar"/>
      <charset val="178"/>
    </font>
    <font>
      <b/>
      <sz val="14"/>
      <name val="B zar"/>
      <charset val="178"/>
    </font>
    <font>
      <b/>
      <sz val="12"/>
      <name val="B zar"/>
      <charset val="178"/>
    </font>
    <font>
      <b/>
      <sz val="15"/>
      <color theme="1"/>
      <name val="Calibri"/>
      <family val="2"/>
      <scheme val="minor"/>
    </font>
    <font>
      <sz val="11"/>
      <name val="B Nazanin"/>
      <charset val="178"/>
    </font>
    <font>
      <sz val="15"/>
      <color theme="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sz val="10"/>
      <name val="Tahoma"/>
      <family val="2"/>
    </font>
    <font>
      <b/>
      <sz val="18"/>
      <name val="B Nazanin"/>
      <charset val="178"/>
    </font>
    <font>
      <b/>
      <sz val="14"/>
      <name val="B Nazanin"/>
      <charset val="178"/>
    </font>
    <font>
      <b/>
      <sz val="15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/>
    <xf numFmtId="3" fontId="3" fillId="3" borderId="1" xfId="0" applyNumberFormat="1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 wrapText="1" shrinkToFit="1"/>
    </xf>
    <xf numFmtId="0" fontId="4" fillId="0" borderId="0" xfId="0" applyFont="1"/>
    <xf numFmtId="165" fontId="9" fillId="0" borderId="1" xfId="1" applyNumberFormat="1" applyFont="1" applyFill="1" applyBorder="1" applyAlignment="1">
      <alignment horizontal="center" vertical="center" wrapText="1" shrinkToFit="1"/>
    </xf>
    <xf numFmtId="165" fontId="9" fillId="2" borderId="1" xfId="1" applyNumberFormat="1" applyFont="1" applyFill="1" applyBorder="1" applyAlignment="1">
      <alignment horizontal="center" vertical="center" wrapText="1" shrinkToFit="1"/>
    </xf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2" fillId="2" borderId="0" xfId="0" applyFont="1" applyFill="1" applyAlignment="1">
      <alignment horizontal="center" vertical="center" readingOrder="2"/>
    </xf>
    <xf numFmtId="3" fontId="2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5" fillId="3" borderId="7" xfId="0" applyNumberFormat="1" applyFont="1" applyFill="1" applyBorder="1" applyAlignment="1"/>
    <xf numFmtId="164" fontId="5" fillId="3" borderId="11" xfId="0" applyNumberFormat="1" applyFont="1" applyFill="1" applyBorder="1" applyAlignment="1"/>
    <xf numFmtId="164" fontId="5" fillId="3" borderId="5" xfId="0" applyNumberFormat="1" applyFont="1" applyFill="1" applyBorder="1" applyAlignment="1"/>
    <xf numFmtId="0" fontId="2" fillId="0" borderId="14" xfId="0" applyFont="1" applyBorder="1" applyAlignment="1">
      <alignment vertical="center" textRotation="90"/>
    </xf>
    <xf numFmtId="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readingOrder="2"/>
    </xf>
    <xf numFmtId="166" fontId="0" fillId="0" borderId="15" xfId="0" applyNumberFormat="1" applyBorder="1" applyAlignment="1">
      <alignment horizontal="center" vertical="center"/>
    </xf>
    <xf numFmtId="9" fontId="2" fillId="3" borderId="15" xfId="0" applyNumberFormat="1" applyFont="1" applyFill="1" applyBorder="1" applyAlignment="1">
      <alignment horizontal="center" vertical="center" readingOrder="2"/>
    </xf>
    <xf numFmtId="3" fontId="0" fillId="2" borderId="15" xfId="0" applyNumberFormat="1" applyFill="1" applyBorder="1" applyAlignment="1">
      <alignment horizontal="center" vertical="center"/>
    </xf>
    <xf numFmtId="3" fontId="0" fillId="3" borderId="15" xfId="0" applyNumberForma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7" fontId="0" fillId="0" borderId="15" xfId="0" applyNumberForma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13" fillId="3" borderId="0" xfId="0" applyFont="1" applyFill="1" applyAlignment="1">
      <alignment horizontal="right" vertical="center" shrinkToFit="1"/>
    </xf>
    <xf numFmtId="0" fontId="14" fillId="3" borderId="0" xfId="0" applyFont="1" applyFill="1" applyAlignment="1">
      <alignment horizontal="right" vertical="center" wrapText="1" shrinkToFit="1"/>
    </xf>
    <xf numFmtId="164" fontId="11" fillId="3" borderId="0" xfId="1" applyNumberFormat="1" applyFont="1" applyFill="1" applyBorder="1"/>
    <xf numFmtId="0" fontId="11" fillId="3" borderId="0" xfId="0" applyFont="1" applyFill="1"/>
    <xf numFmtId="0" fontId="15" fillId="3" borderId="0" xfId="0" applyFont="1" applyFill="1" applyAlignment="1">
      <alignment horizontal="center" vertical="center" wrapText="1"/>
    </xf>
    <xf numFmtId="168" fontId="15" fillId="3" borderId="0" xfId="0" applyNumberFormat="1" applyFont="1" applyFill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right" vertical="center" shrinkToFit="1"/>
    </xf>
    <xf numFmtId="0" fontId="14" fillId="3" borderId="15" xfId="0" applyFont="1" applyFill="1" applyBorder="1" applyAlignment="1">
      <alignment horizontal="right" vertical="center" wrapText="1" shrinkToFit="1"/>
    </xf>
    <xf numFmtId="166" fontId="11" fillId="3" borderId="15" xfId="0" applyNumberFormat="1" applyFont="1" applyFill="1" applyBorder="1" applyAlignment="1">
      <alignment horizontal="center" vertical="center"/>
    </xf>
    <xf numFmtId="166" fontId="11" fillId="3" borderId="0" xfId="0" applyNumberFormat="1" applyFont="1" applyFill="1" applyAlignment="1">
      <alignment horizontal="center" vertical="center"/>
    </xf>
    <xf numFmtId="166" fontId="15" fillId="3" borderId="0" xfId="0" applyNumberFormat="1" applyFont="1" applyFill="1" applyAlignment="1">
      <alignment horizontal="center" vertical="center" wrapText="1"/>
    </xf>
    <xf numFmtId="166" fontId="11" fillId="3" borderId="0" xfId="0" applyNumberFormat="1" applyFont="1" applyFill="1"/>
    <xf numFmtId="169" fontId="11" fillId="3" borderId="15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right" vertical="center"/>
    </xf>
    <xf numFmtId="164" fontId="11" fillId="3" borderId="15" xfId="1" applyNumberFormat="1" applyFont="1" applyFill="1" applyBorder="1" applyAlignment="1">
      <alignment horizontal="center" vertical="center"/>
    </xf>
    <xf numFmtId="164" fontId="11" fillId="3" borderId="15" xfId="1" applyNumberFormat="1" applyFont="1" applyFill="1" applyBorder="1" applyAlignment="1">
      <alignment vertical="center"/>
    </xf>
    <xf numFmtId="0" fontId="14" fillId="3" borderId="15" xfId="0" quotePrefix="1" applyFont="1" applyFill="1" applyBorder="1" applyAlignment="1">
      <alignment horizontal="right" vertical="center" wrapText="1" shrinkToFit="1"/>
    </xf>
    <xf numFmtId="3" fontId="11" fillId="3" borderId="0" xfId="0" applyNumberFormat="1" applyFont="1" applyFill="1"/>
    <xf numFmtId="164" fontId="18" fillId="3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3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10" fillId="4" borderId="2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/>
    </xf>
    <xf numFmtId="0" fontId="16" fillId="5" borderId="15" xfId="0" applyFont="1" applyFill="1" applyBorder="1" applyAlignment="1">
      <alignment horizontal="center"/>
    </xf>
    <xf numFmtId="0" fontId="16" fillId="5" borderId="18" xfId="0" applyFont="1" applyFill="1" applyBorder="1" applyAlignment="1">
      <alignment horizontal="center"/>
    </xf>
    <xf numFmtId="0" fontId="16" fillId="5" borderId="17" xfId="0" applyFont="1" applyFill="1" applyBorder="1" applyAlignment="1">
      <alignment horizontal="center"/>
    </xf>
    <xf numFmtId="0" fontId="16" fillId="5" borderId="1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2566-7854-4ED7-8A4E-A362C6556C13}">
  <dimension ref="A1:P16"/>
  <sheetViews>
    <sheetView rightToLeft="1" tabSelected="1" workbookViewId="0">
      <selection activeCell="F2" sqref="F2"/>
    </sheetView>
  </sheetViews>
  <sheetFormatPr defaultRowHeight="15"/>
  <cols>
    <col min="1" max="1" width="29" bestFit="1" customWidth="1"/>
    <col min="3" max="3" width="19.125" customWidth="1"/>
    <col min="5" max="5" width="4.75" bestFit="1" customWidth="1"/>
    <col min="6" max="6" width="19.25" bestFit="1" customWidth="1"/>
    <col min="7" max="7" width="26" bestFit="1" customWidth="1"/>
    <col min="8" max="11" width="18.875" bestFit="1" customWidth="1"/>
    <col min="12" max="13" width="20.125" bestFit="1" customWidth="1"/>
  </cols>
  <sheetData>
    <row r="1" spans="1:16" ht="33.75" customHeight="1">
      <c r="A1" s="3" t="s">
        <v>0</v>
      </c>
      <c r="B1" s="3" t="s">
        <v>1</v>
      </c>
      <c r="C1" s="3" t="s">
        <v>16</v>
      </c>
      <c r="D1" s="10"/>
      <c r="E1" s="22" t="str">
        <f>B7</f>
        <v>ریال</v>
      </c>
      <c r="F1" s="23"/>
      <c r="G1" s="76" t="s">
        <v>60</v>
      </c>
      <c r="H1" s="77"/>
      <c r="I1" s="77"/>
      <c r="J1" s="77"/>
      <c r="K1" s="77"/>
      <c r="L1" s="77"/>
      <c r="M1" s="78"/>
    </row>
    <row r="2" spans="1:16" ht="33.75" customHeight="1">
      <c r="A2" s="11" t="s">
        <v>57</v>
      </c>
      <c r="B2" s="3" t="s">
        <v>3</v>
      </c>
      <c r="C2" s="11">
        <f>'تولید و فروش'!H14</f>
        <v>781916</v>
      </c>
      <c r="E2" s="24"/>
      <c r="F2" s="28">
        <f>C9</f>
        <v>32439345.874536481</v>
      </c>
      <c r="G2" s="29">
        <v>450000</v>
      </c>
      <c r="H2" s="29">
        <v>500000</v>
      </c>
      <c r="I2" s="29">
        <v>550000</v>
      </c>
      <c r="J2" s="29">
        <v>600000</v>
      </c>
      <c r="K2" s="29">
        <v>640000</v>
      </c>
      <c r="L2" s="29">
        <v>700000</v>
      </c>
      <c r="M2" s="29">
        <v>750000</v>
      </c>
    </row>
    <row r="3" spans="1:16" ht="33.75" customHeight="1">
      <c r="A3" s="11" t="s">
        <v>61</v>
      </c>
      <c r="B3" s="3" t="s">
        <v>58</v>
      </c>
      <c r="C3" s="11">
        <v>660</v>
      </c>
      <c r="E3" s="79" t="s">
        <v>61</v>
      </c>
      <c r="F3" s="29">
        <v>550</v>
      </c>
      <c r="G3" s="73">
        <f t="dataTable" ref="G3:M9" dt2D="1" dtr="1" r1="C4" r2="C3"/>
        <v>-88616858.088078558</v>
      </c>
      <c r="H3" s="73">
        <v>-69582863.754334092</v>
      </c>
      <c r="I3" s="73">
        <v>-50548869.420589566</v>
      </c>
      <c r="J3" s="73">
        <v>-31514875.086845104</v>
      </c>
      <c r="K3" s="73">
        <v>-16287679.619849537</v>
      </c>
      <c r="L3" s="73">
        <v>6553113.5806439184</v>
      </c>
      <c r="M3" s="73">
        <v>25587107.914388444</v>
      </c>
      <c r="N3" s="82" t="s">
        <v>76</v>
      </c>
    </row>
    <row r="4" spans="1:16" ht="33.75" customHeight="1">
      <c r="A4" s="11" t="s">
        <v>62</v>
      </c>
      <c r="B4" s="3" t="s">
        <v>17</v>
      </c>
      <c r="C4" s="11">
        <v>640000</v>
      </c>
      <c r="E4" s="80"/>
      <c r="F4" s="29">
        <v>600</v>
      </c>
      <c r="G4" s="73">
        <v>-73043589.996833116</v>
      </c>
      <c r="H4" s="73">
        <v>-52279232.541839063</v>
      </c>
      <c r="I4" s="73">
        <v>-31514875.086845104</v>
      </c>
      <c r="J4" s="73">
        <v>-10750517.631851021</v>
      </c>
      <c r="K4" s="73">
        <v>5860968.3321441375</v>
      </c>
      <c r="L4" s="73">
        <v>30778197.278136995</v>
      </c>
      <c r="M4" s="73">
        <v>51542554.733130962</v>
      </c>
      <c r="N4" s="82"/>
    </row>
    <row r="5" spans="1:16" ht="33.75" customHeight="1">
      <c r="A5" s="11" t="s">
        <v>63</v>
      </c>
      <c r="B5" s="30" t="s">
        <v>17</v>
      </c>
      <c r="C5" s="11">
        <v>210000000</v>
      </c>
      <c r="E5" s="80"/>
      <c r="F5" s="29">
        <v>620</v>
      </c>
      <c r="G5" s="73">
        <v>-66814282.760334909</v>
      </c>
      <c r="H5" s="73">
        <v>-45357780.056841075</v>
      </c>
      <c r="I5" s="73">
        <v>-23901277.353347275</v>
      </c>
      <c r="J5" s="73">
        <v>-2444774.649853501</v>
      </c>
      <c r="K5" s="73">
        <v>14720427.512941506</v>
      </c>
      <c r="L5" s="73">
        <v>40468230.757134169</v>
      </c>
      <c r="M5" s="73">
        <v>61924733.460627943</v>
      </c>
      <c r="N5" s="82"/>
      <c r="O5" s="25"/>
      <c r="P5" s="25"/>
    </row>
    <row r="6" spans="1:16" ht="33.75" customHeight="1">
      <c r="A6" s="11" t="s">
        <v>64</v>
      </c>
      <c r="B6" s="49" t="s">
        <v>17</v>
      </c>
      <c r="C6" s="11">
        <v>43000</v>
      </c>
      <c r="E6" s="80"/>
      <c r="F6" s="29">
        <v>660</v>
      </c>
      <c r="G6" s="73">
        <v>-54355668.287338465</v>
      </c>
      <c r="H6" s="73">
        <v>-31514875.086845104</v>
      </c>
      <c r="I6" s="73">
        <v>-8674081.8863517381</v>
      </c>
      <c r="J6" s="73">
        <v>14166711.314141717</v>
      </c>
      <c r="K6" s="73">
        <v>32439345.874536481</v>
      </c>
      <c r="L6" s="73">
        <v>59848297.715128571</v>
      </c>
      <c r="M6" s="73">
        <v>82689090.915622085</v>
      </c>
      <c r="N6" s="82"/>
    </row>
    <row r="7" spans="1:16" ht="33.75" customHeight="1">
      <c r="A7" s="11" t="s">
        <v>65</v>
      </c>
      <c r="B7" s="49" t="s">
        <v>17</v>
      </c>
      <c r="C7" s="11">
        <v>7243</v>
      </c>
      <c r="E7" s="80"/>
      <c r="F7" s="29">
        <v>670</v>
      </c>
      <c r="G7" s="73">
        <v>-51241014.669089377</v>
      </c>
      <c r="H7" s="73">
        <v>-28054148.84434608</v>
      </c>
      <c r="I7" s="73">
        <v>-4867283.0196028091</v>
      </c>
      <c r="J7" s="73">
        <v>18319582.805140581</v>
      </c>
      <c r="K7" s="73">
        <v>36869075.464935213</v>
      </c>
      <c r="L7" s="73">
        <v>64693314.454627186</v>
      </c>
      <c r="M7" s="73">
        <v>87880180.279370517</v>
      </c>
      <c r="N7" s="82"/>
    </row>
    <row r="8" spans="1:16" ht="33.75" customHeight="1">
      <c r="A8" s="74" t="s">
        <v>19</v>
      </c>
      <c r="B8" s="74" t="s">
        <v>17</v>
      </c>
      <c r="C8" s="49" t="s">
        <v>18</v>
      </c>
      <c r="E8" s="80"/>
      <c r="F8" s="29">
        <v>700</v>
      </c>
      <c r="G8" s="73">
        <v>-41897053.814342082</v>
      </c>
      <c r="H8" s="73">
        <v>-17671970.116849098</v>
      </c>
      <c r="I8" s="73">
        <v>6553113.5806439184</v>
      </c>
      <c r="J8" s="73">
        <v>30778197.278136995</v>
      </c>
      <c r="K8" s="73">
        <v>50158264.23613134</v>
      </c>
      <c r="L8" s="73">
        <v>79228364.673122913</v>
      </c>
      <c r="M8" s="73">
        <v>103453448.37061599</v>
      </c>
      <c r="N8" s="82"/>
    </row>
    <row r="9" spans="1:16" ht="33.75" customHeight="1">
      <c r="A9" s="75"/>
      <c r="B9" s="75"/>
      <c r="C9" s="11">
        <f>سودوزیان!C20</f>
        <v>32439345.874536481</v>
      </c>
      <c r="E9" s="81"/>
      <c r="F9" s="29">
        <v>750</v>
      </c>
      <c r="G9" s="73">
        <v>-26323785.723096583</v>
      </c>
      <c r="H9" s="73">
        <v>-368338.90435406892</v>
      </c>
      <c r="I9" s="73">
        <v>25587107.914388444</v>
      </c>
      <c r="J9" s="73">
        <v>51542554.733130962</v>
      </c>
      <c r="K9" s="73">
        <v>72306912.188124925</v>
      </c>
      <c r="L9" s="73">
        <v>103453448.37061599</v>
      </c>
      <c r="M9" s="73">
        <v>129408895.1893585</v>
      </c>
      <c r="N9" s="82"/>
    </row>
    <row r="10" spans="1:16" ht="33.75" customHeight="1"/>
    <row r="11" spans="1:16" ht="26.25" customHeight="1"/>
    <row r="12" spans="1:16" ht="26.25" customHeight="1"/>
    <row r="13" spans="1:16" ht="26.25" customHeight="1"/>
    <row r="14" spans="1:16" ht="26.25" customHeight="1">
      <c r="G14" s="43"/>
    </row>
    <row r="15" spans="1:16" ht="26.25" customHeight="1"/>
    <row r="16" spans="1:16" ht="26.25" customHeight="1"/>
  </sheetData>
  <mergeCells count="5">
    <mergeCell ref="A8:A9"/>
    <mergeCell ref="B8:B9"/>
    <mergeCell ref="G1:M1"/>
    <mergeCell ref="E3:E9"/>
    <mergeCell ref="N3:N9"/>
  </mergeCells>
  <conditionalFormatting sqref="G3:M9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99F9-3F69-475F-9CA6-5D8D4EE047B3}">
  <dimension ref="A1:L35"/>
  <sheetViews>
    <sheetView rightToLeft="1" topLeftCell="A10" workbookViewId="0">
      <selection activeCell="H40" sqref="H40"/>
    </sheetView>
  </sheetViews>
  <sheetFormatPr defaultRowHeight="14.25"/>
  <cols>
    <col min="1" max="1" width="4.75" style="2" bestFit="1" customWidth="1"/>
    <col min="2" max="2" width="20.25" style="2" customWidth="1"/>
    <col min="3" max="3" width="3.875" style="2" bestFit="1" customWidth="1"/>
    <col min="4" max="4" width="8.625" style="2" bestFit="1" customWidth="1"/>
    <col min="5" max="5" width="9" style="2" bestFit="1" customWidth="1"/>
    <col min="6" max="6" width="11.5" style="2" customWidth="1"/>
    <col min="7" max="7" width="10.625" style="2" bestFit="1" customWidth="1"/>
    <col min="8" max="8" width="8.625" style="2" bestFit="1" customWidth="1"/>
    <col min="9" max="9" width="9" style="2" bestFit="1" customWidth="1"/>
    <col min="10" max="10" width="17.625" style="2" bestFit="1" customWidth="1"/>
    <col min="11" max="11" width="16.5" style="2" bestFit="1" customWidth="1"/>
    <col min="12" max="12" width="11.375" style="2" bestFit="1" customWidth="1"/>
    <col min="13" max="16384" width="9" style="2"/>
  </cols>
  <sheetData>
    <row r="1" spans="1:12" ht="26.25" customHeight="1">
      <c r="A1" s="93" t="s">
        <v>4</v>
      </c>
      <c r="B1" s="94" t="s">
        <v>2</v>
      </c>
      <c r="C1" s="94" t="s">
        <v>1</v>
      </c>
      <c r="D1" s="92"/>
      <c r="E1" s="92"/>
      <c r="F1" s="92"/>
      <c r="G1" s="92"/>
      <c r="H1" s="92"/>
      <c r="I1" s="92"/>
      <c r="J1" s="92"/>
      <c r="K1" s="92"/>
    </row>
    <row r="2" spans="1:12" ht="26.25" customHeight="1">
      <c r="A2" s="93"/>
      <c r="B2" s="94"/>
      <c r="C2" s="94"/>
      <c r="D2" s="98" t="s">
        <v>15</v>
      </c>
      <c r="E2" s="95"/>
      <c r="F2" s="95"/>
      <c r="G2" s="95"/>
      <c r="H2" s="98" t="s">
        <v>16</v>
      </c>
      <c r="I2" s="95"/>
      <c r="J2" s="95"/>
      <c r="K2" s="95"/>
    </row>
    <row r="3" spans="1:12" ht="35.25" customHeight="1">
      <c r="A3" s="93"/>
      <c r="B3" s="94"/>
      <c r="C3" s="94"/>
      <c r="D3" s="3" t="s">
        <v>5</v>
      </c>
      <c r="E3" s="83" t="s">
        <v>11</v>
      </c>
      <c r="F3" s="84"/>
      <c r="G3" s="85"/>
      <c r="H3" s="3" t="s">
        <v>5</v>
      </c>
      <c r="I3" s="83" t="s">
        <v>11</v>
      </c>
      <c r="J3" s="84"/>
      <c r="K3" s="85"/>
    </row>
    <row r="4" spans="1:12" ht="26.25" customHeight="1">
      <c r="A4" s="96" t="s">
        <v>5</v>
      </c>
      <c r="B4" s="45" t="s">
        <v>66</v>
      </c>
      <c r="C4" s="4" t="s">
        <v>3</v>
      </c>
      <c r="D4" s="6">
        <v>63323</v>
      </c>
      <c r="E4" s="86">
        <f>D4/D14</f>
        <v>8.5440228405506122E-2</v>
      </c>
      <c r="F4" s="87" t="s">
        <v>10</v>
      </c>
      <c r="G4" s="88" t="s">
        <v>10</v>
      </c>
      <c r="H4" s="6">
        <f>781916*I4</f>
        <v>66807.081633919719</v>
      </c>
      <c r="I4" s="86">
        <f>E4</f>
        <v>8.5440228405506122E-2</v>
      </c>
      <c r="J4" s="87"/>
      <c r="K4" s="88"/>
      <c r="L4" s="9"/>
    </row>
    <row r="5" spans="1:12" ht="26.25" customHeight="1">
      <c r="A5" s="97"/>
      <c r="B5" s="45" t="s">
        <v>67</v>
      </c>
      <c r="C5" s="45" t="s">
        <v>3</v>
      </c>
      <c r="D5" s="6">
        <v>49273</v>
      </c>
      <c r="E5" s="86">
        <f>D5/D14</f>
        <v>6.6482895223291746E-2</v>
      </c>
      <c r="F5" s="87" t="s">
        <v>10</v>
      </c>
      <c r="G5" s="88" t="s">
        <v>10</v>
      </c>
      <c r="H5" s="6">
        <f t="shared" ref="H5:H13" si="0">781916*I5</f>
        <v>51984.039501415391</v>
      </c>
      <c r="I5" s="86">
        <f t="shared" ref="I5:I13" si="1">E5</f>
        <v>6.6482895223291746E-2</v>
      </c>
      <c r="J5" s="87"/>
      <c r="K5" s="88"/>
      <c r="L5" s="9"/>
    </row>
    <row r="6" spans="1:12" ht="26.25" customHeight="1">
      <c r="A6" s="97"/>
      <c r="B6" s="45" t="s">
        <v>68</v>
      </c>
      <c r="C6" s="45" t="s">
        <v>3</v>
      </c>
      <c r="D6" s="6">
        <v>14441</v>
      </c>
      <c r="E6" s="86">
        <f>D6/D14</f>
        <v>1.9484900247997001E-2</v>
      </c>
      <c r="F6" s="87" t="s">
        <v>10</v>
      </c>
      <c r="G6" s="88" t="s">
        <v>10</v>
      </c>
      <c r="H6" s="6">
        <f t="shared" si="0"/>
        <v>15235.555262312822</v>
      </c>
      <c r="I6" s="86">
        <f t="shared" si="1"/>
        <v>1.9484900247997001E-2</v>
      </c>
      <c r="J6" s="87"/>
      <c r="K6" s="88"/>
      <c r="L6" s="9"/>
    </row>
    <row r="7" spans="1:12" ht="26.25" customHeight="1">
      <c r="A7" s="97"/>
      <c r="B7" s="45" t="s">
        <v>69</v>
      </c>
      <c r="C7" s="45" t="s">
        <v>3</v>
      </c>
      <c r="D7" s="6">
        <v>120674</v>
      </c>
      <c r="E7" s="86">
        <f>D7/D14</f>
        <v>0.16282257825128382</v>
      </c>
      <c r="F7" s="87" t="s">
        <v>10</v>
      </c>
      <c r="G7" s="88" t="s">
        <v>10</v>
      </c>
      <c r="H7" s="6">
        <f t="shared" si="0"/>
        <v>127313.57909593084</v>
      </c>
      <c r="I7" s="86">
        <f t="shared" si="1"/>
        <v>0.16282257825128382</v>
      </c>
      <c r="J7" s="87"/>
      <c r="K7" s="88"/>
      <c r="L7" s="9"/>
    </row>
    <row r="8" spans="1:12" ht="26.25" customHeight="1">
      <c r="A8" s="97"/>
      <c r="B8" s="45" t="s">
        <v>70</v>
      </c>
      <c r="C8" s="45" t="s">
        <v>3</v>
      </c>
      <c r="D8" s="6">
        <v>1006</v>
      </c>
      <c r="E8" s="86">
        <f>D8/D14</f>
        <v>1.3573720413742111E-3</v>
      </c>
      <c r="F8" s="87" t="s">
        <v>10</v>
      </c>
      <c r="G8" s="88" t="s">
        <v>10</v>
      </c>
      <c r="H8" s="6">
        <f t="shared" si="0"/>
        <v>1061.3509171031576</v>
      </c>
      <c r="I8" s="86">
        <f t="shared" si="1"/>
        <v>1.3573720413742111E-3</v>
      </c>
      <c r="J8" s="87"/>
      <c r="K8" s="88"/>
      <c r="L8" s="9"/>
    </row>
    <row r="9" spans="1:12" ht="26.25" customHeight="1">
      <c r="A9" s="97"/>
      <c r="B9" s="45" t="s">
        <v>71</v>
      </c>
      <c r="C9" s="45" t="s">
        <v>3</v>
      </c>
      <c r="D9" s="6">
        <v>675</v>
      </c>
      <c r="E9" s="86">
        <f>D9/D14</f>
        <v>9.107615585761356E-4</v>
      </c>
      <c r="F9" s="87" t="s">
        <v>10</v>
      </c>
      <c r="G9" s="88" t="s">
        <v>10</v>
      </c>
      <c r="H9" s="6">
        <f t="shared" si="0"/>
        <v>712.13903483561762</v>
      </c>
      <c r="I9" s="86">
        <f t="shared" si="1"/>
        <v>9.107615585761356E-4</v>
      </c>
      <c r="J9" s="87"/>
      <c r="K9" s="88"/>
      <c r="L9" s="9"/>
    </row>
    <row r="10" spans="1:12" ht="26.25" customHeight="1">
      <c r="A10" s="97"/>
      <c r="B10" s="45" t="s">
        <v>72</v>
      </c>
      <c r="C10" s="45" t="s">
        <v>3</v>
      </c>
      <c r="D10" s="6">
        <v>23967</v>
      </c>
      <c r="E10" s="86">
        <f>D10/D14</f>
        <v>3.2338107073176657E-2</v>
      </c>
      <c r="F10" s="87" t="s">
        <v>10</v>
      </c>
      <c r="G10" s="88" t="s">
        <v>10</v>
      </c>
      <c r="H10" s="6">
        <f t="shared" si="0"/>
        <v>25285.68333023</v>
      </c>
      <c r="I10" s="86">
        <f t="shared" si="1"/>
        <v>3.2338107073176657E-2</v>
      </c>
      <c r="J10" s="87"/>
      <c r="K10" s="88"/>
      <c r="L10" s="9"/>
    </row>
    <row r="11" spans="1:12" ht="26.25" customHeight="1">
      <c r="A11" s="50"/>
      <c r="B11" s="48" t="s">
        <v>73</v>
      </c>
      <c r="C11" s="48" t="s">
        <v>3</v>
      </c>
      <c r="D11" s="6">
        <v>230307</v>
      </c>
      <c r="E11" s="86">
        <f>D11/D14</f>
        <v>0.31074779595702823</v>
      </c>
      <c r="F11" s="87" t="s">
        <v>10</v>
      </c>
      <c r="G11" s="88" t="s">
        <v>10</v>
      </c>
      <c r="H11" s="6">
        <f t="shared" si="0"/>
        <v>242978.67362353569</v>
      </c>
      <c r="I11" s="86">
        <f t="shared" si="1"/>
        <v>0.31074779595702823</v>
      </c>
      <c r="J11" s="87"/>
      <c r="K11" s="88"/>
      <c r="L11" s="9"/>
    </row>
    <row r="12" spans="1:12" ht="26.25" customHeight="1">
      <c r="A12" s="50"/>
      <c r="B12" s="48" t="s">
        <v>74</v>
      </c>
      <c r="C12" s="48" t="s">
        <v>3</v>
      </c>
      <c r="D12" s="6">
        <v>197098</v>
      </c>
      <c r="E12" s="86">
        <f>D12/D14</f>
        <v>0.26593967655146544</v>
      </c>
      <c r="F12" s="87" t="s">
        <v>10</v>
      </c>
      <c r="G12" s="88" t="s">
        <v>10</v>
      </c>
      <c r="H12" s="6">
        <f t="shared" si="0"/>
        <v>207942.48813041564</v>
      </c>
      <c r="I12" s="86">
        <f t="shared" si="1"/>
        <v>0.26593967655146544</v>
      </c>
      <c r="J12" s="87"/>
      <c r="K12" s="88"/>
      <c r="L12" s="9"/>
    </row>
    <row r="13" spans="1:12" ht="26.25" customHeight="1">
      <c r="A13" s="50"/>
      <c r="B13" s="48" t="s">
        <v>75</v>
      </c>
      <c r="C13" s="48" t="s">
        <v>3</v>
      </c>
      <c r="D13" s="6">
        <v>40374</v>
      </c>
      <c r="E13" s="86">
        <f>D13/D14</f>
        <v>5.4475684690300591E-2</v>
      </c>
      <c r="F13" s="87" t="s">
        <v>10</v>
      </c>
      <c r="G13" s="88" t="s">
        <v>10</v>
      </c>
      <c r="H13" s="6">
        <f t="shared" si="0"/>
        <v>42595.409470301078</v>
      </c>
      <c r="I13" s="86">
        <f t="shared" si="1"/>
        <v>5.4475684690300591E-2</v>
      </c>
      <c r="J13" s="87"/>
      <c r="K13" s="88"/>
      <c r="L13" s="9"/>
    </row>
    <row r="14" spans="1:12" ht="26.25" customHeight="1">
      <c r="A14" s="93" t="s">
        <v>6</v>
      </c>
      <c r="B14" s="93"/>
      <c r="C14" s="93"/>
      <c r="D14" s="6">
        <f>SUM(D4:D13)</f>
        <v>741138</v>
      </c>
      <c r="E14" s="89" t="s">
        <v>10</v>
      </c>
      <c r="F14" s="90"/>
      <c r="G14" s="91"/>
      <c r="H14" s="6">
        <v>781916</v>
      </c>
      <c r="I14" s="89" t="s">
        <v>10</v>
      </c>
      <c r="J14" s="90"/>
      <c r="K14" s="91"/>
    </row>
    <row r="15" spans="1:12" ht="26.25" customHeight="1">
      <c r="A15" s="93" t="s">
        <v>4</v>
      </c>
      <c r="B15" s="94" t="s">
        <v>2</v>
      </c>
      <c r="C15" s="94" t="s">
        <v>1</v>
      </c>
      <c r="D15" s="95"/>
      <c r="E15" s="95"/>
      <c r="F15" s="95"/>
      <c r="G15" s="95"/>
      <c r="H15" s="95"/>
      <c r="I15" s="95"/>
      <c r="J15" s="95"/>
      <c r="K15" s="95"/>
    </row>
    <row r="16" spans="1:12" ht="26.25" customHeight="1">
      <c r="A16" s="93"/>
      <c r="B16" s="94"/>
      <c r="C16" s="94"/>
      <c r="D16" s="98" t="s">
        <v>15</v>
      </c>
      <c r="E16" s="95"/>
      <c r="F16" s="95"/>
      <c r="G16" s="99"/>
      <c r="H16" s="98" t="s">
        <v>16</v>
      </c>
      <c r="I16" s="95"/>
      <c r="J16" s="95"/>
      <c r="K16" s="95"/>
    </row>
    <row r="17" spans="1:12" ht="39.75" customHeight="1">
      <c r="A17" s="93"/>
      <c r="B17" s="94"/>
      <c r="C17" s="94"/>
      <c r="D17" s="3" t="s">
        <v>7</v>
      </c>
      <c r="E17" s="8" t="s">
        <v>12</v>
      </c>
      <c r="F17" s="3" t="s">
        <v>8</v>
      </c>
      <c r="G17" s="3" t="s">
        <v>9</v>
      </c>
      <c r="H17" s="3" t="s">
        <v>7</v>
      </c>
      <c r="I17" s="8" t="s">
        <v>12</v>
      </c>
      <c r="J17" s="3" t="s">
        <v>8</v>
      </c>
      <c r="K17" s="3" t="s">
        <v>9</v>
      </c>
    </row>
    <row r="18" spans="1:12" ht="33" customHeight="1">
      <c r="A18" s="100" t="s">
        <v>13</v>
      </c>
      <c r="B18" s="48" t="s">
        <v>66</v>
      </c>
      <c r="C18" s="4" t="s">
        <v>3</v>
      </c>
      <c r="D18" s="6">
        <v>59948</v>
      </c>
      <c r="E18" s="7">
        <f>D18/D35</f>
        <v>8.0639542000546141E-2</v>
      </c>
      <c r="F18" s="6">
        <f>G18/D18*1000</f>
        <v>535745.8297190899</v>
      </c>
      <c r="G18" s="6">
        <v>32116891</v>
      </c>
      <c r="H18" s="6">
        <f>781916*I18</f>
        <v>63053.348122899035</v>
      </c>
      <c r="I18" s="7">
        <f>E18</f>
        <v>8.0639542000546141E-2</v>
      </c>
      <c r="J18" s="6">
        <f>(F18/353436)*(مفروضات!C3*مفروضات!C4)</f>
        <v>640282932.33667076</v>
      </c>
      <c r="K18" s="6">
        <f>H18*J18/1000000</f>
        <v>40371982.629774712</v>
      </c>
      <c r="L18" s="9"/>
    </row>
    <row r="19" spans="1:12" ht="33" customHeight="1">
      <c r="A19" s="101"/>
      <c r="B19" s="48" t="s">
        <v>67</v>
      </c>
      <c r="C19" s="45" t="s">
        <v>3</v>
      </c>
      <c r="D19" s="6">
        <v>52832</v>
      </c>
      <c r="E19" s="7">
        <f>D19/D35</f>
        <v>7.1067396459812721E-2</v>
      </c>
      <c r="F19" s="6">
        <f t="shared" ref="F19:F31" si="2">G19/D19*1000</f>
        <v>373693.55693519075</v>
      </c>
      <c r="G19" s="6">
        <v>19742978</v>
      </c>
      <c r="H19" s="6">
        <f t="shared" ref="H19:H34" si="3">781916*I19</f>
        <v>55568.734370270926</v>
      </c>
      <c r="I19" s="7">
        <f t="shared" ref="I19:I34" si="4">E19</f>
        <v>7.1067396459812721E-2</v>
      </c>
      <c r="J19" s="6">
        <f>(F19/353436)*(مفروضات!C3*مفروضات!C4)</f>
        <v>446610301.29761708</v>
      </c>
      <c r="K19" s="6">
        <f t="shared" ref="K19:K34" si="5">H19*J19/1000000</f>
        <v>24817569.199833948</v>
      </c>
      <c r="L19" s="9"/>
    </row>
    <row r="20" spans="1:12" ht="33" customHeight="1">
      <c r="A20" s="101"/>
      <c r="B20" s="48" t="s">
        <v>68</v>
      </c>
      <c r="C20" s="45" t="s">
        <v>3</v>
      </c>
      <c r="D20" s="6">
        <v>13980</v>
      </c>
      <c r="E20" s="7">
        <f>D20/D35</f>
        <v>1.8805311222520101E-2</v>
      </c>
      <c r="F20" s="6">
        <f t="shared" si="2"/>
        <v>497107.93991416309</v>
      </c>
      <c r="G20" s="6">
        <v>6949569</v>
      </c>
      <c r="H20" s="6">
        <f t="shared" si="3"/>
        <v>14704.173729868027</v>
      </c>
      <c r="I20" s="7">
        <f t="shared" si="4"/>
        <v>1.8805311222520101E-2</v>
      </c>
      <c r="J20" s="6">
        <f>(F20/353436)*(مفروضات!C3*مفروضات!C4)</f>
        <v>594105846.09304786</v>
      </c>
      <c r="K20" s="6">
        <f t="shared" si="5"/>
        <v>8735835.5748824123</v>
      </c>
      <c r="L20" s="9"/>
    </row>
    <row r="21" spans="1:12" ht="33" customHeight="1">
      <c r="A21" s="101"/>
      <c r="B21" s="48" t="s">
        <v>69</v>
      </c>
      <c r="C21" s="45" t="s">
        <v>3</v>
      </c>
      <c r="D21" s="6">
        <v>26593</v>
      </c>
      <c r="E21" s="7">
        <f>D21/D35</f>
        <v>3.5771791226071319E-2</v>
      </c>
      <c r="F21" s="6">
        <f t="shared" si="2"/>
        <v>566410.97281239426</v>
      </c>
      <c r="G21" s="6">
        <v>15062567</v>
      </c>
      <c r="H21" s="6">
        <f t="shared" si="3"/>
        <v>27970.535908324782</v>
      </c>
      <c r="I21" s="7">
        <f t="shared" si="4"/>
        <v>3.5771791226071319E-2</v>
      </c>
      <c r="J21" s="6">
        <f>(F21/353436)*(مفروضات!C3*مفروضات!C4)</f>
        <v>676931594.16685152</v>
      </c>
      <c r="K21" s="6">
        <f t="shared" si="5"/>
        <v>18934139.462123461</v>
      </c>
      <c r="L21" s="9"/>
    </row>
    <row r="22" spans="1:12" ht="33" customHeight="1">
      <c r="A22" s="101"/>
      <c r="B22" s="48" t="s">
        <v>70</v>
      </c>
      <c r="C22" s="45" t="s">
        <v>3</v>
      </c>
      <c r="D22" s="6">
        <v>1022</v>
      </c>
      <c r="E22" s="7">
        <f>D22/D35</f>
        <v>1.3747516501727856E-3</v>
      </c>
      <c r="F22" s="6">
        <f t="shared" si="2"/>
        <v>539454.011741683</v>
      </c>
      <c r="G22" s="6">
        <v>551322</v>
      </c>
      <c r="H22" s="6">
        <f t="shared" si="3"/>
        <v>1074.9403112965038</v>
      </c>
      <c r="I22" s="7">
        <f t="shared" si="4"/>
        <v>1.3747516501727856E-3</v>
      </c>
      <c r="J22" s="6">
        <f>(F22/353436)*(مفروضات!C3*مفروضات!C4)</f>
        <v>644714671.28330708</v>
      </c>
      <c r="K22" s="6">
        <f t="shared" si="5"/>
        <v>693029.78944670118</v>
      </c>
      <c r="L22" s="9"/>
    </row>
    <row r="23" spans="1:12" ht="33" customHeight="1">
      <c r="A23" s="101"/>
      <c r="B23" s="48" t="s">
        <v>71</v>
      </c>
      <c r="C23" s="48" t="s">
        <v>3</v>
      </c>
      <c r="D23" s="6">
        <v>705</v>
      </c>
      <c r="E23" s="7">
        <f>D23/D35</f>
        <v>9.4833651014854584E-4</v>
      </c>
      <c r="F23" s="6">
        <f t="shared" ref="F23:F27" si="6">G23/D23*1000</f>
        <v>492689.36170212767</v>
      </c>
      <c r="G23" s="6">
        <v>347346</v>
      </c>
      <c r="H23" s="6">
        <f t="shared" si="3"/>
        <v>741.51949066931036</v>
      </c>
      <c r="I23" s="7">
        <f t="shared" si="4"/>
        <v>9.4833651014854584E-4</v>
      </c>
      <c r="J23" s="6">
        <f>(F23/353436)*(مفروضات!C3*مفروضات!C4)</f>
        <v>588825095.30149376</v>
      </c>
      <c r="K23" s="6">
        <f t="shared" si="5"/>
        <v>436625.28476127179</v>
      </c>
      <c r="L23" s="9"/>
    </row>
    <row r="24" spans="1:12" ht="33" customHeight="1">
      <c r="A24" s="101"/>
      <c r="B24" s="48" t="s">
        <v>72</v>
      </c>
      <c r="C24" s="48" t="s">
        <v>3</v>
      </c>
      <c r="D24" s="6">
        <v>5565</v>
      </c>
      <c r="E24" s="7">
        <f>D24/D35</f>
        <v>7.4858052184066061E-3</v>
      </c>
      <c r="F24" s="6">
        <f t="shared" si="6"/>
        <v>293939.9820305481</v>
      </c>
      <c r="G24" s="6">
        <v>1635776</v>
      </c>
      <c r="H24" s="6">
        <f t="shared" si="3"/>
        <v>5853.2708731556195</v>
      </c>
      <c r="I24" s="7">
        <f>E24</f>
        <v>7.4858052184066061E-3</v>
      </c>
      <c r="J24" s="6">
        <f>(F24/353436)*(مفروضات!C3*مفروضات!C4)</f>
        <v>351294855.10729951</v>
      </c>
      <c r="K24" s="6">
        <f t="shared" si="5"/>
        <v>2056223.9432889798</v>
      </c>
      <c r="L24" s="9"/>
    </row>
    <row r="25" spans="1:12" ht="33" customHeight="1">
      <c r="A25" s="101"/>
      <c r="B25" s="48" t="s">
        <v>73</v>
      </c>
      <c r="C25" s="48" t="s">
        <v>3</v>
      </c>
      <c r="D25" s="6">
        <v>16494</v>
      </c>
      <c r="E25" s="7">
        <f>D25/D35</f>
        <v>2.2187038862964702E-2</v>
      </c>
      <c r="F25" s="6">
        <f t="shared" si="6"/>
        <v>160418.515823936</v>
      </c>
      <c r="G25" s="6">
        <v>2645943</v>
      </c>
      <c r="H25" s="6">
        <f t="shared" si="3"/>
        <v>17348.400679573908</v>
      </c>
      <c r="I25" s="7">
        <f t="shared" si="4"/>
        <v>2.2187038862964702E-2</v>
      </c>
      <c r="J25" s="6">
        <f>(F25/353436)*(مفروضات!C3*مفروضات!C4)</f>
        <v>191720088.17446601</v>
      </c>
      <c r="K25" s="6">
        <f t="shared" si="5"/>
        <v>3326036.9079738753</v>
      </c>
      <c r="L25" s="9"/>
    </row>
    <row r="26" spans="1:12" ht="33" customHeight="1">
      <c r="A26" s="101"/>
      <c r="B26" s="48" t="s">
        <v>74</v>
      </c>
      <c r="C26" s="48" t="s">
        <v>3</v>
      </c>
      <c r="D26" s="6">
        <v>54064</v>
      </c>
      <c r="E26" s="7">
        <f>D26/D35</f>
        <v>7.2724631325774447E-2</v>
      </c>
      <c r="F26" s="6">
        <f>G26/D26*1000</f>
        <v>277599.25273749634</v>
      </c>
      <c r="G26" s="6">
        <v>15008126</v>
      </c>
      <c r="H26" s="6">
        <f t="shared" si="3"/>
        <v>56864.552827724256</v>
      </c>
      <c r="I26" s="7">
        <f t="shared" si="4"/>
        <v>7.2724631325774447E-2</v>
      </c>
      <c r="J26" s="6">
        <f>(F26/353436)*(مفروضات!C3*مفروضات!C4)</f>
        <v>331765650.23460668</v>
      </c>
      <c r="K26" s="6">
        <f t="shared" si="5"/>
        <v>18865705.34419008</v>
      </c>
      <c r="L26" s="9"/>
    </row>
    <row r="27" spans="1:12" ht="33" customHeight="1">
      <c r="A27" s="101"/>
      <c r="B27" s="48" t="s">
        <v>75</v>
      </c>
      <c r="C27" s="48" t="s">
        <v>3</v>
      </c>
      <c r="D27" s="6">
        <v>7220</v>
      </c>
      <c r="E27" s="7">
        <f>D27/D35</f>
        <v>9.7120419904574481E-3</v>
      </c>
      <c r="F27" s="6">
        <f t="shared" si="6"/>
        <v>314036.70360110805</v>
      </c>
      <c r="G27" s="6">
        <v>2267345</v>
      </c>
      <c r="H27" s="6">
        <f t="shared" si="3"/>
        <v>7594.0010250105261</v>
      </c>
      <c r="I27" s="7">
        <f t="shared" si="4"/>
        <v>9.7120419904574481E-3</v>
      </c>
      <c r="J27" s="6">
        <f>(F27/353436)*(مفروضات!C3*مفروضات!C4)</f>
        <v>375312938.13054711</v>
      </c>
      <c r="K27" s="6">
        <f t="shared" si="5"/>
        <v>2850126.836863087</v>
      </c>
      <c r="L27" s="9"/>
    </row>
    <row r="28" spans="1:12" ht="33" customHeight="1">
      <c r="A28" s="102" t="s">
        <v>14</v>
      </c>
      <c r="B28" s="45" t="s">
        <v>75</v>
      </c>
      <c r="C28" s="45" t="s">
        <v>3</v>
      </c>
      <c r="D28" s="6">
        <v>26523</v>
      </c>
      <c r="E28" s="7">
        <f>D28/D35</f>
        <v>3.5677630154141673E-2</v>
      </c>
      <c r="F28" s="6">
        <f>G28/D28*1000</f>
        <v>374990.49881235149</v>
      </c>
      <c r="G28" s="6">
        <v>9945873</v>
      </c>
      <c r="H28" s="6">
        <f t="shared" si="3"/>
        <v>27896.909859605839</v>
      </c>
      <c r="I28" s="7">
        <f t="shared" si="4"/>
        <v>3.5677630154141673E-2</v>
      </c>
      <c r="J28" s="6">
        <f>(F28/353436)*(مفروضات!C3*مفروضات!C4)</f>
        <v>448160308.22648871</v>
      </c>
      <c r="K28" s="6">
        <f t="shared" si="5"/>
        <v>12502287.721247526</v>
      </c>
      <c r="L28" s="9"/>
    </row>
    <row r="29" spans="1:12" ht="33" customHeight="1">
      <c r="A29" s="103"/>
      <c r="B29" s="45" t="s">
        <v>69</v>
      </c>
      <c r="C29" s="45" t="s">
        <v>3</v>
      </c>
      <c r="D29" s="6">
        <v>93750</v>
      </c>
      <c r="E29" s="7">
        <f>D29/D35</f>
        <v>0.12610857847720025</v>
      </c>
      <c r="F29" s="6">
        <f t="shared" si="2"/>
        <v>347017.12</v>
      </c>
      <c r="G29" s="6">
        <v>32532855</v>
      </c>
      <c r="H29" s="6">
        <f t="shared" si="3"/>
        <v>98606.31524857851</v>
      </c>
      <c r="I29" s="7">
        <f t="shared" si="4"/>
        <v>0.12610857847720025</v>
      </c>
      <c r="J29" s="6">
        <f>(F29/353436)*(مفروضات!C3*مفروضات!C4)</f>
        <v>414728639.66319221</v>
      </c>
      <c r="K29" s="6">
        <f t="shared" si="5"/>
        <v>40894862.985242851</v>
      </c>
      <c r="L29" s="9"/>
    </row>
    <row r="30" spans="1:12" ht="33" customHeight="1">
      <c r="A30" s="103"/>
      <c r="B30" s="45" t="s">
        <v>74</v>
      </c>
      <c r="C30" s="45" t="s">
        <v>3</v>
      </c>
      <c r="D30" s="6">
        <v>148443</v>
      </c>
      <c r="E30" s="7">
        <f>D30/D35</f>
        <v>0.19967931429217103</v>
      </c>
      <c r="F30" s="6">
        <f t="shared" si="2"/>
        <v>353435.77669543191</v>
      </c>
      <c r="G30" s="6">
        <v>52465067</v>
      </c>
      <c r="H30" s="6">
        <f t="shared" si="3"/>
        <v>156132.45071407722</v>
      </c>
      <c r="I30" s="7">
        <f t="shared" si="4"/>
        <v>0.19967931429217103</v>
      </c>
      <c r="J30" s="6">
        <f>(F30/353436)*(مفروضات!C3*مفروضات!C4)</f>
        <v>422399733.12325412</v>
      </c>
      <c r="K30" s="6">
        <f t="shared" si="5"/>
        <v>65950305.513505846</v>
      </c>
      <c r="L30" s="9"/>
    </row>
    <row r="31" spans="1:12" ht="33" customHeight="1">
      <c r="A31" s="103"/>
      <c r="B31" s="45" t="s">
        <v>67</v>
      </c>
      <c r="C31" s="45" t="s">
        <v>3</v>
      </c>
      <c r="D31" s="6">
        <v>134</v>
      </c>
      <c r="E31" s="7">
        <f>D31/D35</f>
        <v>1.8025119483674489E-4</v>
      </c>
      <c r="F31" s="6">
        <f t="shared" si="2"/>
        <v>628522.38805970154</v>
      </c>
      <c r="G31" s="6">
        <v>84222</v>
      </c>
      <c r="H31" s="6">
        <f t="shared" si="3"/>
        <v>140.94129326196821</v>
      </c>
      <c r="I31" s="7">
        <f t="shared" si="4"/>
        <v>1.8025119483674489E-4</v>
      </c>
      <c r="J31" s="6">
        <f>(F31/353436)*(مفروضات!C3*مفروضات!C4)</f>
        <v>751162464.25496531</v>
      </c>
      <c r="K31" s="6">
        <f t="shared" si="5"/>
        <v>105869.80916194177</v>
      </c>
      <c r="L31" s="26"/>
    </row>
    <row r="32" spans="1:12" ht="36" customHeight="1">
      <c r="A32" s="103"/>
      <c r="B32" s="45" t="s">
        <v>66</v>
      </c>
      <c r="C32" s="45" t="s">
        <v>3</v>
      </c>
      <c r="D32" s="6">
        <v>5259</v>
      </c>
      <c r="E32" s="7">
        <f>D32/D35</f>
        <v>7.0741868182570252E-3</v>
      </c>
      <c r="F32" s="6">
        <f>G32/D32*1000</f>
        <v>481854.91538315266</v>
      </c>
      <c r="G32" s="6">
        <v>2534075</v>
      </c>
      <c r="H32" s="6">
        <f t="shared" si="3"/>
        <v>5531.41986018426</v>
      </c>
      <c r="I32" s="7">
        <f t="shared" si="4"/>
        <v>7.0741868182570252E-3</v>
      </c>
      <c r="J32" s="6">
        <f>(F32/353436)*(مفروضات!C3*مفروضات!C4)</f>
        <v>575876583.7601254</v>
      </c>
      <c r="K32" s="6">
        <f t="shared" si="5"/>
        <v>3185415.1724258224</v>
      </c>
    </row>
    <row r="33" spans="1:12" ht="36" customHeight="1">
      <c r="A33" s="103"/>
      <c r="B33" s="48" t="s">
        <v>72</v>
      </c>
      <c r="C33" s="48" t="s">
        <v>3</v>
      </c>
      <c r="D33" s="6">
        <v>21871</v>
      </c>
      <c r="E33" s="7">
        <f>D33/D35</f>
        <v>2.9419954345331695E-2</v>
      </c>
      <c r="F33" s="6">
        <f>G33/D33*1000</f>
        <v>282267.11170042522</v>
      </c>
      <c r="G33" s="6">
        <v>6173464</v>
      </c>
      <c r="H33" s="6">
        <f t="shared" si="3"/>
        <v>23003.933021884379</v>
      </c>
      <c r="I33" s="7">
        <f t="shared" si="4"/>
        <v>2.9419954345331695E-2</v>
      </c>
      <c r="J33" s="6">
        <f>(F33/353436)*(مفروضات!C3*مفروضات!C4)</f>
        <v>337344322.54286379</v>
      </c>
      <c r="K33" s="6">
        <f t="shared" si="5"/>
        <v>7760246.2010889994</v>
      </c>
    </row>
    <row r="34" spans="1:12" ht="36" customHeight="1">
      <c r="A34" s="104"/>
      <c r="B34" s="45" t="s">
        <v>73</v>
      </c>
      <c r="C34" s="45" t="s">
        <v>3</v>
      </c>
      <c r="D34" s="6">
        <v>209004</v>
      </c>
      <c r="E34" s="7">
        <f>D34/D35</f>
        <v>0.28114343825118676</v>
      </c>
      <c r="F34" s="6">
        <f>G34/D34*1000</f>
        <v>155584.40029855887</v>
      </c>
      <c r="G34" s="6">
        <v>32517762</v>
      </c>
      <c r="H34" s="6">
        <f t="shared" si="3"/>
        <v>219830.55266361494</v>
      </c>
      <c r="I34" s="7">
        <f t="shared" si="4"/>
        <v>0.28114343825118676</v>
      </c>
      <c r="J34" s="6">
        <f>(F34/353436)*(مفروضات!C3*مفروضات!C4)</f>
        <v>185942718.5858579</v>
      </c>
      <c r="K34" s="6">
        <f t="shared" si="5"/>
        <v>40875890.590504162</v>
      </c>
      <c r="L34" s="21"/>
    </row>
    <row r="35" spans="1:12" ht="26.25" customHeight="1">
      <c r="A35" s="93" t="s">
        <v>6</v>
      </c>
      <c r="B35" s="93"/>
      <c r="C35" s="93"/>
      <c r="D35" s="6">
        <f>SUM(D18:D34)</f>
        <v>743407</v>
      </c>
      <c r="E35" s="6" t="s">
        <v>10</v>
      </c>
      <c r="F35" s="6" t="s">
        <v>10</v>
      </c>
      <c r="G35" s="6">
        <f>SUM(G18:G34)</f>
        <v>232581181</v>
      </c>
      <c r="H35" s="6">
        <f>H14</f>
        <v>781916</v>
      </c>
      <c r="I35" s="6" t="s">
        <v>10</v>
      </c>
      <c r="J35" s="6" t="s">
        <v>10</v>
      </c>
      <c r="K35" s="6">
        <f>SUM(K18:K34)</f>
        <v>292362152.96631569</v>
      </c>
    </row>
  </sheetData>
  <mergeCells count="41">
    <mergeCell ref="A35:C35"/>
    <mergeCell ref="E11:G11"/>
    <mergeCell ref="A18:A27"/>
    <mergeCell ref="A28:A34"/>
    <mergeCell ref="I5:K5"/>
    <mergeCell ref="I6:K6"/>
    <mergeCell ref="I7:K7"/>
    <mergeCell ref="I8:K8"/>
    <mergeCell ref="I9:K9"/>
    <mergeCell ref="E5:G5"/>
    <mergeCell ref="E6:G6"/>
    <mergeCell ref="E7:G7"/>
    <mergeCell ref="E8:G8"/>
    <mergeCell ref="E9:G9"/>
    <mergeCell ref="A14:C14"/>
    <mergeCell ref="D1:K1"/>
    <mergeCell ref="A15:A17"/>
    <mergeCell ref="B15:B17"/>
    <mergeCell ref="C15:C17"/>
    <mergeCell ref="D15:K15"/>
    <mergeCell ref="E3:G3"/>
    <mergeCell ref="E4:G4"/>
    <mergeCell ref="E10:G10"/>
    <mergeCell ref="A4:A10"/>
    <mergeCell ref="B1:B3"/>
    <mergeCell ref="C1:C3"/>
    <mergeCell ref="A1:A3"/>
    <mergeCell ref="D2:G2"/>
    <mergeCell ref="H2:K2"/>
    <mergeCell ref="D16:G16"/>
    <mergeCell ref="H16:K16"/>
    <mergeCell ref="I3:K3"/>
    <mergeCell ref="I4:K4"/>
    <mergeCell ref="I10:K10"/>
    <mergeCell ref="E14:G14"/>
    <mergeCell ref="I14:K14"/>
    <mergeCell ref="I11:K11"/>
    <mergeCell ref="E12:G12"/>
    <mergeCell ref="I12:K12"/>
    <mergeCell ref="E13:G13"/>
    <mergeCell ref="I13:K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6C67-155F-42F4-804A-31B1A906E956}">
  <dimension ref="A1:E39"/>
  <sheetViews>
    <sheetView rightToLeft="1" workbookViewId="0">
      <selection activeCell="F23" sqref="F23"/>
    </sheetView>
  </sheetViews>
  <sheetFormatPr defaultColWidth="14.5" defaultRowHeight="15"/>
  <cols>
    <col min="1" max="1" width="27.625" style="1" bestFit="1" customWidth="1"/>
    <col min="2" max="2" width="18.875" style="1" customWidth="1"/>
    <col min="3" max="3" width="18.125" style="1" bestFit="1" customWidth="1"/>
    <col min="4" max="4" width="14.5" style="1"/>
    <col min="5" max="5" width="17.125" style="1" bestFit="1" customWidth="1"/>
    <col min="6" max="16384" width="14.5" style="1"/>
  </cols>
  <sheetData>
    <row r="1" spans="1:5">
      <c r="A1" s="105" t="s">
        <v>81</v>
      </c>
      <c r="B1" s="105"/>
      <c r="C1" s="105"/>
    </row>
    <row r="2" spans="1:5" ht="20.25" customHeight="1">
      <c r="A2" s="51" t="s">
        <v>0</v>
      </c>
      <c r="B2" s="1" t="s">
        <v>15</v>
      </c>
      <c r="C2" s="1" t="s">
        <v>16</v>
      </c>
    </row>
    <row r="3" spans="1:5" ht="20.25" customHeight="1">
      <c r="A3" s="36" t="s">
        <v>77</v>
      </c>
      <c r="B3" s="39">
        <v>597226</v>
      </c>
      <c r="C3" s="39">
        <f>C6*B14</f>
        <v>628162.72246024047</v>
      </c>
    </row>
    <row r="4" spans="1:5" ht="20.25" customHeight="1">
      <c r="A4" s="36" t="s">
        <v>78</v>
      </c>
      <c r="B4" s="39">
        <v>119718</v>
      </c>
      <c r="C4" s="39">
        <f>C6*B15</f>
        <v>125919.47572191276</v>
      </c>
    </row>
    <row r="5" spans="1:5" ht="20.25" customHeight="1">
      <c r="A5" s="36" t="s">
        <v>79</v>
      </c>
      <c r="B5" s="39">
        <v>1</v>
      </c>
      <c r="C5" s="39">
        <v>1</v>
      </c>
    </row>
    <row r="6" spans="1:5" s="27" customFormat="1" ht="20.25" customHeight="1">
      <c r="A6" s="33" t="s">
        <v>52</v>
      </c>
      <c r="B6" s="39">
        <f>SUM(B3:B5)</f>
        <v>716945</v>
      </c>
      <c r="C6" s="39">
        <f>'تولید و فروش'!H14</f>
        <v>781916</v>
      </c>
    </row>
    <row r="7" spans="1:5" ht="20.25" customHeight="1">
      <c r="A7" s="105" t="s">
        <v>53</v>
      </c>
      <c r="B7" s="105"/>
      <c r="C7" s="105"/>
    </row>
    <row r="8" spans="1:5" s="31" customFormat="1" ht="20.25" customHeight="1">
      <c r="A8" s="36" t="s">
        <v>77</v>
      </c>
      <c r="B8" s="53">
        <v>96481004</v>
      </c>
      <c r="C8" s="34">
        <f>C25*C3/1000000</f>
        <v>131914171.7166505</v>
      </c>
      <c r="E8" s="16"/>
    </row>
    <row r="9" spans="1:5" s="31" customFormat="1" ht="20.25" customHeight="1">
      <c r="A9" s="36" t="s">
        <v>78</v>
      </c>
      <c r="B9" s="53">
        <v>22277043</v>
      </c>
      <c r="C9" s="34">
        <f>C4*C26/1000000</f>
        <v>30458406.852098573</v>
      </c>
    </row>
    <row r="10" spans="1:5" s="31" customFormat="1" ht="20.25" customHeight="1">
      <c r="A10" s="36" t="s">
        <v>79</v>
      </c>
      <c r="B10" s="53">
        <v>33799622</v>
      </c>
      <c r="C10" s="34">
        <f>C5*C27/1000000</f>
        <v>43936760.292876884</v>
      </c>
    </row>
    <row r="11" spans="1:5" ht="20.25" customHeight="1">
      <c r="A11" s="38" t="s">
        <v>43</v>
      </c>
      <c r="B11" s="32">
        <f>SUM(B8:B10)</f>
        <v>152557669</v>
      </c>
      <c r="C11" s="32">
        <f>SUM(C8:C10)</f>
        <v>206309338.86162597</v>
      </c>
    </row>
    <row r="12" spans="1:5" s="31" customFormat="1" ht="20.25" customHeight="1">
      <c r="A12" s="108" t="s">
        <v>54</v>
      </c>
      <c r="B12" s="108"/>
      <c r="C12" s="108"/>
    </row>
    <row r="13" spans="1:5" s="31" customFormat="1" ht="20.25" customHeight="1">
      <c r="A13" s="37" t="s">
        <v>0</v>
      </c>
      <c r="B13" s="35" t="s">
        <v>15</v>
      </c>
      <c r="C13" s="35" t="s">
        <v>16</v>
      </c>
    </row>
    <row r="14" spans="1:5" s="31" customFormat="1" ht="20.25" customHeight="1">
      <c r="A14" s="36" t="s">
        <v>77</v>
      </c>
      <c r="B14" s="44">
        <f>B3/'تولید و فروش'!D35</f>
        <v>0.80336343348932682</v>
      </c>
      <c r="C14" s="47">
        <f>B14</f>
        <v>0.80336343348932682</v>
      </c>
    </row>
    <row r="15" spans="1:5" s="31" customFormat="1" ht="20.25" customHeight="1">
      <c r="A15" s="36" t="s">
        <v>78</v>
      </c>
      <c r="B15" s="44">
        <f>B4/'تولید و فروش'!D35</f>
        <v>0.1610396458467569</v>
      </c>
      <c r="C15" s="47">
        <f t="shared" ref="C15:C16" si="0">B15</f>
        <v>0.1610396458467569</v>
      </c>
    </row>
    <row r="16" spans="1:5" s="31" customFormat="1" ht="20.25" customHeight="1">
      <c r="A16" s="36" t="s">
        <v>79</v>
      </c>
      <c r="B16" s="52">
        <f>B5/'تولید و فروش'!D14</f>
        <v>1.3492763830757564E-6</v>
      </c>
      <c r="C16" s="47">
        <f t="shared" si="0"/>
        <v>1.3492763830757564E-6</v>
      </c>
    </row>
    <row r="17" spans="1:3" s="31" customFormat="1" ht="20.25" customHeight="1">
      <c r="A17" s="19"/>
      <c r="B17" s="20"/>
      <c r="C17" s="20"/>
    </row>
    <row r="18" spans="1:3" s="31" customFormat="1" ht="20.25" customHeight="1">
      <c r="A18" s="107" t="s">
        <v>80</v>
      </c>
      <c r="B18" s="107"/>
      <c r="C18" s="107"/>
    </row>
    <row r="19" spans="1:3" s="31" customFormat="1" ht="20.25" customHeight="1">
      <c r="A19" s="37" t="s">
        <v>0</v>
      </c>
      <c r="B19" s="35" t="s">
        <v>15</v>
      </c>
      <c r="C19" s="35" t="s">
        <v>16</v>
      </c>
    </row>
    <row r="20" spans="1:3" s="31" customFormat="1" ht="20.25" customHeight="1">
      <c r="A20" s="36" t="s">
        <v>77</v>
      </c>
      <c r="B20" s="40">
        <f>B25/B25</f>
        <v>1</v>
      </c>
      <c r="C20" s="40">
        <f>B20</f>
        <v>1</v>
      </c>
    </row>
    <row r="21" spans="1:3" s="31" customFormat="1" ht="20.25" customHeight="1">
      <c r="A21" s="36" t="s">
        <v>78</v>
      </c>
      <c r="B21" s="40">
        <f>B26/B25</f>
        <v>1.1518474945794319</v>
      </c>
      <c r="C21" s="40">
        <f t="shared" ref="C21" si="1">B21</f>
        <v>1.1518474945794319</v>
      </c>
    </row>
    <row r="22" spans="1:3" s="31" customFormat="1" ht="20.25" customHeight="1">
      <c r="A22" s="36" t="s">
        <v>79</v>
      </c>
      <c r="B22" s="40">
        <f>B27/B25</f>
        <v>209222.66806131849</v>
      </c>
      <c r="C22" s="40">
        <f>B22</f>
        <v>209222.66806131849</v>
      </c>
    </row>
    <row r="23" spans="1:3" s="31" customFormat="1" ht="20.25" customHeight="1">
      <c r="A23" s="106" t="s">
        <v>51</v>
      </c>
      <c r="B23" s="106"/>
      <c r="C23" s="106"/>
    </row>
    <row r="24" spans="1:3" s="31" customFormat="1" ht="20.25" customHeight="1">
      <c r="A24" s="37" t="s">
        <v>0</v>
      </c>
      <c r="B24" s="35" t="s">
        <v>15</v>
      </c>
      <c r="C24" s="35" t="s">
        <v>16</v>
      </c>
    </row>
    <row r="25" spans="1:3" s="31" customFormat="1" ht="20.25" customHeight="1">
      <c r="A25" s="53" t="s">
        <v>77</v>
      </c>
      <c r="B25" s="53">
        <v>161548566</v>
      </c>
      <c r="C25" s="53">
        <f>مفروضات!C5</f>
        <v>210000000</v>
      </c>
    </row>
    <row r="26" spans="1:3" s="31" customFormat="1" ht="20.25" customHeight="1">
      <c r="A26" s="53" t="s">
        <v>78</v>
      </c>
      <c r="B26" s="53">
        <v>186079311</v>
      </c>
      <c r="C26" s="53">
        <f>C25*C21</f>
        <v>241887973.86168072</v>
      </c>
    </row>
    <row r="27" spans="1:3" s="31" customFormat="1" ht="20.25" customHeight="1">
      <c r="A27" s="53" t="s">
        <v>79</v>
      </c>
      <c r="B27" s="53">
        <v>33799622000000</v>
      </c>
      <c r="C27" s="53">
        <f>C25*C22</f>
        <v>43936760292876.883</v>
      </c>
    </row>
    <row r="28" spans="1:3" s="31" customFormat="1" ht="20.25" customHeight="1">
      <c r="A28" s="17" t="s">
        <v>56</v>
      </c>
      <c r="B28" s="17"/>
      <c r="C28" s="17"/>
    </row>
    <row r="29" spans="1:3" s="31" customFormat="1" ht="20.25" customHeight="1">
      <c r="A29" s="37" t="s">
        <v>0</v>
      </c>
      <c r="B29" s="35" t="s">
        <v>15</v>
      </c>
      <c r="C29" s="35" t="s">
        <v>16</v>
      </c>
    </row>
    <row r="30" spans="1:3" ht="20.25" customHeight="1">
      <c r="A30" s="38" t="s">
        <v>45</v>
      </c>
      <c r="B30" s="42">
        <v>2214356</v>
      </c>
      <c r="C30" s="42">
        <v>2745662</v>
      </c>
    </row>
    <row r="31" spans="1:3" s="31" customFormat="1" ht="19.5" customHeight="1">
      <c r="A31" s="107" t="s">
        <v>55</v>
      </c>
      <c r="B31" s="107"/>
      <c r="C31" s="107"/>
    </row>
    <row r="32" spans="1:3" s="31" customFormat="1" ht="20.25" customHeight="1">
      <c r="A32" s="33" t="s">
        <v>0</v>
      </c>
      <c r="B32" s="35" t="s">
        <v>15</v>
      </c>
      <c r="C32" s="35" t="s">
        <v>16</v>
      </c>
    </row>
    <row r="33" spans="1:3" ht="19.5" customHeight="1">
      <c r="A33" s="38" t="s">
        <v>46</v>
      </c>
      <c r="B33" s="41">
        <v>21329682</v>
      </c>
      <c r="C33" s="41">
        <v>25774020</v>
      </c>
    </row>
    <row r="34" spans="1:3">
      <c r="A34" s="18" t="s">
        <v>47</v>
      </c>
      <c r="B34" s="17">
        <f>B33+B30+B11</f>
        <v>176101707</v>
      </c>
      <c r="C34" s="17">
        <f>C33+C30+C11</f>
        <v>234829020.86162597</v>
      </c>
    </row>
    <row r="35" spans="1:3" s="46" customFormat="1">
      <c r="A35" s="18" t="s">
        <v>59</v>
      </c>
      <c r="B35" s="17">
        <v>-221361</v>
      </c>
      <c r="C35" s="17">
        <v>0</v>
      </c>
    </row>
    <row r="36" spans="1:3">
      <c r="A36" s="18" t="s">
        <v>48</v>
      </c>
      <c r="B36" s="17">
        <v>12764930</v>
      </c>
      <c r="C36" s="17">
        <f>-B37</f>
        <v>14239787</v>
      </c>
    </row>
    <row r="37" spans="1:3">
      <c r="A37" s="18" t="s">
        <v>49</v>
      </c>
      <c r="B37" s="17">
        <v>-14239787</v>
      </c>
      <c r="C37" s="17">
        <v>0</v>
      </c>
    </row>
    <row r="38" spans="1:3">
      <c r="A38" s="18" t="s">
        <v>50</v>
      </c>
      <c r="B38" s="17">
        <f>B34+B36+B37+B35</f>
        <v>174405489</v>
      </c>
      <c r="C38" s="17">
        <f>C34+C36+C37</f>
        <v>249068807.86162597</v>
      </c>
    </row>
    <row r="39" spans="1:3">
      <c r="A39" s="18" t="s">
        <v>44</v>
      </c>
      <c r="B39" s="17">
        <v>-15329512</v>
      </c>
      <c r="C39" s="17">
        <v>-19627941</v>
      </c>
    </row>
  </sheetData>
  <mergeCells count="6">
    <mergeCell ref="A1:C1"/>
    <mergeCell ref="A23:C23"/>
    <mergeCell ref="A31:C31"/>
    <mergeCell ref="A7:C7"/>
    <mergeCell ref="A12:C12"/>
    <mergeCell ref="A18:C1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5902-995E-4E21-A8F2-F8E7C74910C1}">
  <dimension ref="A1:C22"/>
  <sheetViews>
    <sheetView rightToLeft="1" workbookViewId="0">
      <selection activeCell="C17" sqref="C17"/>
    </sheetView>
  </sheetViews>
  <sheetFormatPr defaultRowHeight="14.25"/>
  <cols>
    <col min="1" max="1" width="34.625" style="13" customWidth="1"/>
    <col min="2" max="3" width="16.875" style="13" customWidth="1"/>
    <col min="4" max="16384" width="9" style="13"/>
  </cols>
  <sheetData>
    <row r="1" spans="1:3" ht="36.75" customHeight="1">
      <c r="A1" s="12" t="s">
        <v>0</v>
      </c>
      <c r="B1" s="12" t="s">
        <v>41</v>
      </c>
      <c r="C1" s="12" t="s">
        <v>42</v>
      </c>
    </row>
    <row r="2" spans="1:3" ht="31.5" customHeight="1">
      <c r="A2" s="14" t="s">
        <v>20</v>
      </c>
      <c r="B2" s="6">
        <f>'تولید و فروش'!G35</f>
        <v>232581181</v>
      </c>
      <c r="C2" s="6">
        <f>'تولید و فروش'!K35</f>
        <v>292362152.96631569</v>
      </c>
    </row>
    <row r="3" spans="1:3" ht="31.5" customHeight="1">
      <c r="A3" s="14" t="s">
        <v>21</v>
      </c>
      <c r="B3" s="6">
        <f>-'بهای تمام شده'!B38</f>
        <v>-174405489</v>
      </c>
      <c r="C3" s="6">
        <f>-'بهای تمام شده'!C38</f>
        <v>-249068807.86162597</v>
      </c>
    </row>
    <row r="4" spans="1:3" ht="31.5" customHeight="1">
      <c r="A4" s="15" t="s">
        <v>22</v>
      </c>
      <c r="B4" s="6">
        <f>B2+B3</f>
        <v>58175692</v>
      </c>
      <c r="C4" s="6">
        <f>C2+C3</f>
        <v>43293345.104689717</v>
      </c>
    </row>
    <row r="5" spans="1:3" ht="31.5" customHeight="1">
      <c r="A5" s="14" t="s">
        <v>23</v>
      </c>
      <c r="B5" s="6">
        <f>'بهای تمام شده'!B39</f>
        <v>-15329512</v>
      </c>
      <c r="C5" s="6">
        <f>'بهای تمام شده'!C39</f>
        <v>-19627941</v>
      </c>
    </row>
    <row r="6" spans="1:3" ht="31.5" customHeight="1">
      <c r="A6" s="14" t="s">
        <v>24</v>
      </c>
      <c r="B6" s="5">
        <v>0</v>
      </c>
      <c r="C6" s="5">
        <v>0</v>
      </c>
    </row>
    <row r="7" spans="1:3" ht="31.5" customHeight="1">
      <c r="A7" s="14" t="s">
        <v>25</v>
      </c>
      <c r="B7" s="6">
        <v>2350386</v>
      </c>
      <c r="C7" s="6">
        <v>0</v>
      </c>
    </row>
    <row r="8" spans="1:3" ht="31.5" customHeight="1">
      <c r="A8" s="14" t="s">
        <v>26</v>
      </c>
      <c r="B8" s="6">
        <v>-1441257</v>
      </c>
      <c r="C8" s="6">
        <v>0</v>
      </c>
    </row>
    <row r="9" spans="1:3" ht="31.5" customHeight="1">
      <c r="A9" s="15" t="s">
        <v>27</v>
      </c>
      <c r="B9" s="6">
        <f>B4+B5+B7+B8</f>
        <v>43755309</v>
      </c>
      <c r="C9" s="6">
        <f>C4+C5+C7+C8</f>
        <v>23665404.104689717</v>
      </c>
    </row>
    <row r="10" spans="1:3" ht="31.5" customHeight="1">
      <c r="A10" s="14" t="s">
        <v>28</v>
      </c>
      <c r="B10" s="6">
        <v>-2058041</v>
      </c>
      <c r="C10" s="6"/>
    </row>
    <row r="11" spans="1:3" ht="31.5" customHeight="1">
      <c r="A11" s="14" t="s">
        <v>29</v>
      </c>
      <c r="B11" s="6">
        <v>6199278</v>
      </c>
      <c r="C11" s="6">
        <v>12075418</v>
      </c>
    </row>
    <row r="12" spans="1:3" ht="31.5" customHeight="1">
      <c r="A12" s="14" t="s">
        <v>30</v>
      </c>
      <c r="B12" s="6">
        <v>0</v>
      </c>
      <c r="C12" s="6">
        <v>0</v>
      </c>
    </row>
    <row r="13" spans="1:3" ht="31.5" customHeight="1">
      <c r="A13" s="15" t="s">
        <v>31</v>
      </c>
      <c r="B13" s="6">
        <f>B9+B10+B11+B12</f>
        <v>47896546</v>
      </c>
      <c r="C13" s="6">
        <f>C9+C10+C11+C12</f>
        <v>35740822.104689717</v>
      </c>
    </row>
    <row r="14" spans="1:3" ht="31.5" customHeight="1">
      <c r="A14" s="14" t="s">
        <v>32</v>
      </c>
      <c r="B14" s="6">
        <v>-6662176</v>
      </c>
      <c r="C14" s="6">
        <v>-3301476.2301532361</v>
      </c>
    </row>
    <row r="15" spans="1:3" ht="31.5" customHeight="1">
      <c r="A15" s="14" t="s">
        <v>33</v>
      </c>
      <c r="B15" s="6"/>
      <c r="C15" s="6"/>
    </row>
    <row r="16" spans="1:3" ht="31.5" customHeight="1">
      <c r="A16" s="14" t="s">
        <v>34</v>
      </c>
      <c r="B16" s="6"/>
      <c r="C16" s="6">
        <v>0</v>
      </c>
    </row>
    <row r="17" spans="1:3" ht="31.5" customHeight="1">
      <c r="A17" s="15" t="s">
        <v>35</v>
      </c>
      <c r="B17" s="6">
        <f>B13+B15+B14+B16</f>
        <v>41234370</v>
      </c>
      <c r="C17" s="6">
        <f>C13+C15+C14+C16</f>
        <v>32439345.874536481</v>
      </c>
    </row>
    <row r="18" spans="1:3" ht="31.5" customHeight="1">
      <c r="A18" s="14" t="s">
        <v>36</v>
      </c>
      <c r="B18" s="6">
        <v>0</v>
      </c>
      <c r="C18" s="6">
        <v>0</v>
      </c>
    </row>
    <row r="19" spans="1:3" ht="31.5" customHeight="1">
      <c r="A19" s="14" t="s">
        <v>37</v>
      </c>
      <c r="B19" s="6">
        <v>0</v>
      </c>
      <c r="C19" s="6">
        <v>0</v>
      </c>
    </row>
    <row r="20" spans="1:3" ht="31.5" customHeight="1">
      <c r="A20" s="15" t="s">
        <v>38</v>
      </c>
      <c r="B20" s="6">
        <f>B17</f>
        <v>41234370</v>
      </c>
      <c r="C20" s="6">
        <f>C17</f>
        <v>32439345.874536481</v>
      </c>
    </row>
    <row r="21" spans="1:3" ht="31.5" customHeight="1">
      <c r="A21" s="15" t="s">
        <v>39</v>
      </c>
      <c r="B21" s="6"/>
      <c r="C21" s="6"/>
    </row>
    <row r="22" spans="1:3" ht="31.5" customHeight="1">
      <c r="A22" s="14" t="s">
        <v>40</v>
      </c>
      <c r="B22" s="6"/>
      <c r="C22" s="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D7BC-B8B7-4966-A5E7-50E258D83A66}">
  <dimension ref="A1:L27"/>
  <sheetViews>
    <sheetView rightToLeft="1" view="pageBreakPreview" zoomScaleNormal="100" zoomScaleSheetLayoutView="100" workbookViewId="0">
      <selection activeCell="D13" sqref="D13"/>
    </sheetView>
  </sheetViews>
  <sheetFormatPr defaultColWidth="9.125" defaultRowHeight="31.5" customHeight="1"/>
  <cols>
    <col min="1" max="1" width="30.5" style="57" customWidth="1"/>
    <col min="2" max="2" width="14.75" style="57" customWidth="1"/>
    <col min="3" max="4" width="21.375" style="57" customWidth="1"/>
    <col min="5" max="5" width="12.5" style="57" bestFit="1" customWidth="1"/>
    <col min="6" max="6" width="26.25" style="57" bestFit="1" customWidth="1"/>
    <col min="7" max="7" width="12.75" style="57" customWidth="1"/>
    <col min="8" max="8" width="35.625" style="57" bestFit="1" customWidth="1"/>
    <col min="9" max="9" width="37" style="57" bestFit="1" customWidth="1"/>
    <col min="10" max="10" width="38.375" style="57" bestFit="1" customWidth="1"/>
    <col min="11" max="11" width="32.625" style="57" bestFit="1" customWidth="1"/>
    <col min="12" max="12" width="10.25" style="57" bestFit="1" customWidth="1"/>
    <col min="13" max="16384" width="9.125" style="57"/>
  </cols>
  <sheetData>
    <row r="1" spans="1:12" ht="18.75">
      <c r="A1" s="54"/>
      <c r="B1" s="55"/>
      <c r="C1" s="56"/>
      <c r="D1" s="56"/>
      <c r="F1" s="58"/>
      <c r="G1" s="59"/>
      <c r="H1" s="59"/>
      <c r="I1" s="59"/>
      <c r="J1" s="59"/>
      <c r="K1" s="59"/>
      <c r="L1" s="59"/>
    </row>
    <row r="2" spans="1:12" ht="27.75">
      <c r="A2" s="109" t="s">
        <v>82</v>
      </c>
      <c r="B2" s="109"/>
      <c r="C2" s="109"/>
      <c r="D2" s="109"/>
      <c r="F2" s="58"/>
      <c r="G2" s="59"/>
      <c r="H2" s="59"/>
      <c r="I2" s="59"/>
      <c r="J2" s="59"/>
      <c r="K2" s="59"/>
      <c r="L2" s="59"/>
    </row>
    <row r="3" spans="1:12" ht="22.5">
      <c r="A3" s="60" t="s">
        <v>0</v>
      </c>
      <c r="B3" s="60" t="s">
        <v>1</v>
      </c>
      <c r="C3" s="60">
        <v>1402</v>
      </c>
      <c r="D3" s="60">
        <v>1403</v>
      </c>
      <c r="F3" s="58"/>
      <c r="G3" s="59"/>
      <c r="H3" s="59"/>
      <c r="I3" s="59"/>
      <c r="J3" s="59"/>
      <c r="K3" s="59"/>
      <c r="L3" s="59"/>
    </row>
    <row r="4" spans="1:12" ht="18.75">
      <c r="A4" s="61" t="s">
        <v>83</v>
      </c>
      <c r="B4" s="62" t="s">
        <v>84</v>
      </c>
      <c r="C4" s="63">
        <f>C8*C18</f>
        <v>77310422.524691314</v>
      </c>
      <c r="D4" s="63">
        <f>D8*D18</f>
        <v>81564103.228840694</v>
      </c>
      <c r="F4" s="58"/>
      <c r="G4" s="59"/>
      <c r="H4" s="59"/>
      <c r="I4" s="59"/>
      <c r="J4" s="59"/>
      <c r="K4" s="59"/>
      <c r="L4" s="59"/>
    </row>
    <row r="5" spans="1:12" ht="18.75">
      <c r="A5" s="61" t="s">
        <v>85</v>
      </c>
      <c r="B5" s="62" t="s">
        <v>86</v>
      </c>
      <c r="C5" s="63">
        <f>C8*C19</f>
        <v>28975218.424218975</v>
      </c>
      <c r="D5" s="63">
        <f>D8*D19</f>
        <v>30569457.900406677</v>
      </c>
      <c r="F5" s="58"/>
      <c r="G5" s="59"/>
      <c r="H5" s="59"/>
      <c r="I5" s="59"/>
      <c r="J5" s="59"/>
      <c r="K5" s="59"/>
      <c r="L5" s="59"/>
    </row>
    <row r="6" spans="1:12" ht="18.75">
      <c r="A6" s="61" t="s">
        <v>91</v>
      </c>
      <c r="B6" s="62" t="s">
        <v>10</v>
      </c>
      <c r="C6" s="63">
        <v>5206265</v>
      </c>
      <c r="D6" s="63">
        <f>D8*D20</f>
        <v>5646352.2907130932</v>
      </c>
      <c r="F6" s="58"/>
      <c r="G6" s="59"/>
      <c r="H6" s="59"/>
      <c r="I6" s="59"/>
      <c r="J6" s="59"/>
      <c r="K6" s="59"/>
      <c r="L6" s="59"/>
    </row>
    <row r="7" spans="1:12" ht="18.75">
      <c r="A7" s="54"/>
      <c r="B7" s="55"/>
      <c r="C7" s="64">
        <f>SUM(C4:C6)</f>
        <v>111491905.9489103</v>
      </c>
      <c r="D7" s="64">
        <f>SUM(D3:D6)</f>
        <v>117781316.41996045</v>
      </c>
      <c r="F7" s="58"/>
      <c r="G7" s="59"/>
      <c r="H7" s="59"/>
      <c r="I7" s="59"/>
      <c r="J7" s="59"/>
      <c r="K7" s="59"/>
      <c r="L7" s="59"/>
    </row>
    <row r="8" spans="1:12" ht="18.75">
      <c r="A8" s="61" t="s">
        <v>87</v>
      </c>
      <c r="B8" s="62" t="s">
        <v>3</v>
      </c>
      <c r="C8" s="63">
        <f>'تولید و فروش'!D14</f>
        <v>741138</v>
      </c>
      <c r="D8" s="63">
        <f>مفروضات!C2</f>
        <v>781916</v>
      </c>
      <c r="F8" s="58"/>
      <c r="G8" s="59"/>
      <c r="H8" s="59"/>
      <c r="I8" s="59"/>
      <c r="J8" s="59"/>
      <c r="K8" s="59"/>
      <c r="L8" s="59"/>
    </row>
    <row r="9" spans="1:12" ht="18.75">
      <c r="A9" s="54"/>
      <c r="B9" s="55"/>
      <c r="C9" s="64"/>
      <c r="D9" s="64"/>
      <c r="G9" s="59"/>
      <c r="H9" s="59"/>
      <c r="I9" s="59"/>
      <c r="J9" s="59"/>
      <c r="K9" s="59"/>
      <c r="L9" s="59"/>
    </row>
    <row r="10" spans="1:12" ht="27.75">
      <c r="A10" s="109" t="s">
        <v>88</v>
      </c>
      <c r="B10" s="109"/>
      <c r="C10" s="109"/>
      <c r="D10" s="109"/>
      <c r="G10" s="59"/>
      <c r="H10" s="59"/>
      <c r="I10" s="59"/>
      <c r="J10" s="59"/>
      <c r="K10" s="59"/>
      <c r="L10" s="59"/>
    </row>
    <row r="11" spans="1:12" ht="22.5">
      <c r="A11" s="60" t="s">
        <v>0</v>
      </c>
      <c r="B11" s="60" t="s">
        <v>1</v>
      </c>
      <c r="C11" s="60">
        <v>1402</v>
      </c>
      <c r="D11" s="60">
        <v>1403</v>
      </c>
      <c r="F11" s="58"/>
      <c r="G11" s="59"/>
      <c r="H11" s="59"/>
      <c r="I11" s="59"/>
      <c r="J11" s="59"/>
      <c r="K11" s="59"/>
      <c r="L11" s="59"/>
    </row>
    <row r="12" spans="1:12" ht="18.75">
      <c r="A12" s="61" t="s">
        <v>83</v>
      </c>
      <c r="B12" s="62" t="s">
        <v>17</v>
      </c>
      <c r="C12" s="63">
        <v>3295</v>
      </c>
      <c r="D12" s="63">
        <f>مفروضات!C7</f>
        <v>7243</v>
      </c>
      <c r="F12" s="58"/>
      <c r="G12" s="59"/>
      <c r="H12" s="59"/>
      <c r="I12" s="59"/>
      <c r="J12" s="59"/>
      <c r="K12" s="59"/>
      <c r="L12" s="59"/>
    </row>
    <row r="13" spans="1:12" ht="18.75">
      <c r="A13" s="61" t="s">
        <v>85</v>
      </c>
      <c r="B13" s="62" t="s">
        <v>17</v>
      </c>
      <c r="C13" s="63">
        <v>13948</v>
      </c>
      <c r="D13" s="63">
        <f>مفروضات!C6</f>
        <v>43000</v>
      </c>
      <c r="E13" s="72"/>
      <c r="F13" s="58"/>
      <c r="G13" s="59"/>
      <c r="H13" s="59"/>
      <c r="I13" s="59"/>
      <c r="J13" s="59"/>
      <c r="K13" s="59"/>
      <c r="L13" s="59"/>
    </row>
    <row r="14" spans="1:12" ht="18.75">
      <c r="A14" s="61" t="s">
        <v>91</v>
      </c>
      <c r="B14" s="62"/>
      <c r="C14" s="63"/>
      <c r="D14" s="63"/>
      <c r="F14" s="58"/>
      <c r="G14" s="59"/>
      <c r="H14" s="59"/>
      <c r="I14" s="59"/>
      <c r="J14" s="59"/>
      <c r="K14" s="59"/>
      <c r="L14" s="59"/>
    </row>
    <row r="15" spans="1:12" ht="18">
      <c r="F15" s="58"/>
      <c r="G15" s="65"/>
      <c r="H15" s="65"/>
      <c r="I15" s="65"/>
      <c r="J15" s="65"/>
      <c r="K15" s="65"/>
      <c r="L15" s="65"/>
    </row>
    <row r="16" spans="1:12" ht="27.75">
      <c r="A16" s="110" t="s">
        <v>89</v>
      </c>
      <c r="B16" s="111"/>
      <c r="C16" s="111"/>
      <c r="D16" s="112"/>
      <c r="F16" s="66"/>
    </row>
    <row r="17" spans="1:12" ht="22.5">
      <c r="A17" s="60" t="s">
        <v>0</v>
      </c>
      <c r="B17" s="60" t="s">
        <v>1</v>
      </c>
      <c r="C17" s="60">
        <v>1402</v>
      </c>
      <c r="D17" s="60">
        <v>1403</v>
      </c>
      <c r="F17" s="66"/>
    </row>
    <row r="18" spans="1:12" ht="18.75">
      <c r="A18" s="61" t="s">
        <v>83</v>
      </c>
      <c r="B18" s="62" t="s">
        <v>10</v>
      </c>
      <c r="C18" s="67">
        <v>104.31312727817399</v>
      </c>
      <c r="D18" s="67">
        <f>C18</f>
        <v>104.31312727817399</v>
      </c>
      <c r="F18" s="66"/>
    </row>
    <row r="19" spans="1:12" ht="18.75">
      <c r="A19" s="61" t="s">
        <v>85</v>
      </c>
      <c r="B19" s="71" t="s">
        <v>10</v>
      </c>
      <c r="C19" s="67">
        <v>39.095577914260197</v>
      </c>
      <c r="D19" s="67">
        <f>C19</f>
        <v>39.095577914260197</v>
      </c>
      <c r="F19" s="66"/>
    </row>
    <row r="20" spans="1:12" ht="18.75">
      <c r="A20" s="61" t="s">
        <v>91</v>
      </c>
      <c r="B20" s="62" t="s">
        <v>10</v>
      </c>
      <c r="C20" s="67">
        <v>7.2211750248275939</v>
      </c>
      <c r="D20" s="67">
        <f>C20</f>
        <v>7.2211750248275939</v>
      </c>
      <c r="F20" s="66"/>
    </row>
    <row r="21" spans="1:12" ht="18">
      <c r="C21" s="66"/>
    </row>
    <row r="22" spans="1:12" ht="27.75">
      <c r="A22" s="110" t="s">
        <v>93</v>
      </c>
      <c r="B22" s="111"/>
      <c r="C22" s="111"/>
      <c r="D22" s="112"/>
      <c r="F22" s="58"/>
      <c r="G22" s="59"/>
      <c r="H22" s="59"/>
      <c r="I22" s="59"/>
      <c r="J22" s="59"/>
      <c r="K22" s="59"/>
      <c r="L22" s="59"/>
    </row>
    <row r="23" spans="1:12" ht="22.5">
      <c r="A23" s="60" t="s">
        <v>0</v>
      </c>
      <c r="B23" s="60" t="s">
        <v>1</v>
      </c>
      <c r="C23" s="60">
        <v>1402</v>
      </c>
      <c r="D23" s="60">
        <v>1403</v>
      </c>
      <c r="F23" s="58"/>
      <c r="G23" s="59"/>
      <c r="H23" s="59"/>
      <c r="I23" s="59"/>
      <c r="J23" s="59"/>
      <c r="K23" s="59"/>
      <c r="L23" s="59"/>
    </row>
    <row r="24" spans="1:12" ht="18.75">
      <c r="A24" s="61" t="s">
        <v>83</v>
      </c>
      <c r="B24" s="62" t="s">
        <v>90</v>
      </c>
      <c r="C24" s="63">
        <f>C4*C12/1000000</f>
        <v>254737.84221885787</v>
      </c>
      <c r="D24" s="63">
        <f>D4*D12/1000000</f>
        <v>590768.79968649312</v>
      </c>
      <c r="F24" s="58"/>
      <c r="G24" s="59"/>
      <c r="H24" s="59"/>
      <c r="I24" s="59"/>
      <c r="J24" s="59"/>
      <c r="K24" s="59"/>
      <c r="L24" s="59"/>
    </row>
    <row r="25" spans="1:12" ht="18.75">
      <c r="A25" s="61" t="s">
        <v>85</v>
      </c>
      <c r="B25" s="62" t="s">
        <v>90</v>
      </c>
      <c r="C25" s="63">
        <f>C5*C13/1000000</f>
        <v>404146.34658100631</v>
      </c>
      <c r="D25" s="63">
        <f>D5*D13/1000000</f>
        <v>1314486.689717487</v>
      </c>
      <c r="F25" s="58"/>
      <c r="G25" s="59"/>
      <c r="H25" s="59"/>
      <c r="I25" s="59"/>
      <c r="J25" s="59"/>
      <c r="K25" s="59"/>
      <c r="L25" s="59"/>
    </row>
    <row r="26" spans="1:12" ht="18.75">
      <c r="A26" s="61" t="s">
        <v>91</v>
      </c>
      <c r="B26" s="62" t="s">
        <v>90</v>
      </c>
      <c r="C26" s="63">
        <v>8842524</v>
      </c>
      <c r="D26" s="63">
        <f>D27-D24-D25</f>
        <v>9496434.5105960201</v>
      </c>
      <c r="F26" s="58"/>
      <c r="G26" s="59"/>
      <c r="H26" s="59"/>
      <c r="I26" s="59"/>
      <c r="J26" s="59"/>
      <c r="K26" s="59"/>
      <c r="L26" s="59"/>
    </row>
    <row r="27" spans="1:12" ht="18.75">
      <c r="A27" s="68" t="s">
        <v>92</v>
      </c>
      <c r="B27" s="62" t="s">
        <v>90</v>
      </c>
      <c r="C27" s="70">
        <f>SUM(C24:C26)</f>
        <v>9501408.1887998637</v>
      </c>
      <c r="D27" s="69">
        <v>11401690</v>
      </c>
    </row>
  </sheetData>
  <mergeCells count="4">
    <mergeCell ref="A2:D2"/>
    <mergeCell ref="A10:D10"/>
    <mergeCell ref="A16:D16"/>
    <mergeCell ref="A22:D22"/>
  </mergeCells>
  <pageMargins left="0.7" right="0.7" top="0.75" bottom="0.75" header="0.3" footer="0.3"/>
  <pageSetup paperSize="9" scale="91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o R q W U + V R 2 y l A A A A 9 w A A A B I A H A B D b 2 5 m a W c v U G F j a 2 F n Z S 5 4 b W w g o h g A K K A U A A A A A A A A A A A A A A A A A A A A A A A A A A A A h Y 9 N C s I w G E S v U r J v / k S Q 8 j V d u B I s i I K 4 D W l s g 2 0 q T W p 6 N x c e y S t Y 0 a o 7 l / P m L W b u 1 x t k Q 1 N H F 9 0 5 0 9 o U M U x R p K 1 q C 2 P L F P X + G C 9 Q J m A j 1 U m W O h p l 6 5 L B F S m q v D 8 n h I Q Q c J j h t i s J p 5 S R Q 7 7 e q U o 3 E n 1 k 8 1 + O j X V e W q W R g P 1 r j O C Y 0 T l m n H N M g U w U c m O / B h 8 H P 9 s f C M u + 9 n 2 n x V H G q y 2 Q K Q J 5 n x A P U E s D B B Q A A g A I A I 6 E a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h G p Z K I p H u A 4 A A A A R A A A A E w A c A E Z v c m 1 1 b G F z L 1 N l Y 3 R p b 2 4 x L m 0 g o h g A K K A U A A A A A A A A A A A A A A A A A A A A A A A A A A A A K 0 5 N L s n M z 1 M I h t C G 1 g B Q S w E C L Q A U A A I A C A C O h G p Z T 5 V H b K U A A A D 3 A A A A E g A A A A A A A A A A A A A A A A A A A A A A Q 2 9 u Z m l n L 1 B h Y 2 t h Z 2 U u e G 1 s U E s B A i 0 A F A A C A A g A j o R q W Q / K 6 a u k A A A A 6 Q A A A B M A A A A A A A A A A A A A A A A A 8 Q A A A F t D b 2 5 0 Z W 5 0 X 1 R 5 c G V z X S 5 4 b W x Q S w E C L Q A U A A I A C A C O h G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A M W 0 A P o r 0 e w 0 M X 5 Y N S i D w A A A A A C A A A A A A A D Z g A A w A A A A B A A A A C S M M Z I Z 6 X 2 a V b 3 f 5 M T z T / p A A A A A A S A A A C g A A A A E A A A A C C O o k 5 F B K O U R A B L I g E s q 5 x Q A A A A 1 4 X t d U c l f p H K h a 7 M E o R K i c k K H u r v u A v 9 z V 2 4 Y Y l V z z O / H 0 h c F 9 4 g B b L K J b m Z e d d u A L C I k e r a b c a r 0 T g K K x N R 2 n 7 H 4 0 0 k G O Y d z o u a U c x y x M U U A A A A 9 K K L y W O S p B d K f a P z 0 I J N S j P H A B U = < / D a t a M a s h u p > 
</file>

<file path=customXml/itemProps1.xml><?xml version="1.0" encoding="utf-8"?>
<ds:datastoreItem xmlns:ds="http://schemas.openxmlformats.org/officeDocument/2006/customXml" ds:itemID="{985A4F76-75ED-415F-B625-1325F75F35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مفروضات</vt:lpstr>
      <vt:lpstr>تولید و فروش</vt:lpstr>
      <vt:lpstr>بهای تمام شده</vt:lpstr>
      <vt:lpstr>سودوزیان</vt:lpstr>
      <vt:lpstr>هزینه انرژی</vt:lpstr>
      <vt:lpstr>'هزینه انرژی'!Print_Area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سعید منطقی</dc:creator>
  <cp:lastModifiedBy>سعید منطقی</cp:lastModifiedBy>
  <dcterms:created xsi:type="dcterms:W3CDTF">2024-11-10T05:28:11Z</dcterms:created>
  <dcterms:modified xsi:type="dcterms:W3CDTF">2025-02-04T13:23:45Z</dcterms:modified>
</cp:coreProperties>
</file>