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EBDF000-2D8E-450E-9A91-7E8178256B8B}" xr6:coauthVersionLast="47" xr6:coauthVersionMax="47" xr10:uidLastSave="{00000000-0000-0000-0000-000000000000}"/>
  <bookViews>
    <workbookView xWindow="-120" yWindow="-120" windowWidth="29040" windowHeight="15840" tabRatio="587" activeTab="2" xr2:uid="{00000000-000D-0000-FFFF-FFFF00000000}"/>
  </bookViews>
  <sheets>
    <sheet name="مفروضات" sheetId="14" r:id="rId1"/>
    <sheet name="درآمد" sheetId="12" r:id="rId2"/>
    <sheet name="بهای تمام شده" sheetId="13" r:id="rId3"/>
    <sheet name="سود و زیان" sheetId="11" r:id="rId4"/>
  </sheets>
  <definedNames>
    <definedName name="_xlnm.Print_Area" localSheetId="0">مفروضات!$G$3:$Q$12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3" l="1"/>
  <c r="P183" i="12"/>
  <c r="O183" i="12"/>
  <c r="M183" i="12"/>
  <c r="N183" i="12"/>
  <c r="K183" i="12"/>
  <c r="I183" i="12"/>
  <c r="J183" i="12"/>
  <c r="L183" i="12"/>
  <c r="H183" i="12"/>
  <c r="K117" i="12"/>
  <c r="K5" i="13"/>
  <c r="J32" i="12"/>
  <c r="K6" i="12"/>
  <c r="L110" i="12"/>
  <c r="K110" i="12"/>
  <c r="K135" i="12" s="1"/>
  <c r="L135" i="12" s="1"/>
  <c r="K124" i="12"/>
  <c r="K118" i="12" s="1"/>
  <c r="G161" i="12"/>
  <c r="L58" i="12"/>
  <c r="K58" i="12"/>
  <c r="K78" i="12"/>
  <c r="J78" i="12"/>
  <c r="L78" i="12"/>
  <c r="L26" i="12"/>
  <c r="N32" i="12"/>
  <c r="L6" i="12"/>
  <c r="K26" i="12"/>
  <c r="M26" i="12"/>
  <c r="R6" i="11"/>
  <c r="S6" i="11"/>
  <c r="K13" i="11"/>
  <c r="K12" i="11"/>
  <c r="K10" i="11"/>
  <c r="K9" i="11"/>
  <c r="J7" i="11"/>
  <c r="K66" i="13"/>
  <c r="L59" i="13"/>
  <c r="L60" i="13"/>
  <c r="L51" i="13"/>
  <c r="L61" i="13"/>
  <c r="K51" i="13"/>
  <c r="K42" i="13"/>
  <c r="K21" i="13"/>
  <c r="K23" i="13" s="1"/>
  <c r="J29" i="13"/>
  <c r="J28" i="13"/>
  <c r="J9" i="13"/>
  <c r="N45" i="12"/>
  <c r="N46" i="12"/>
  <c r="N47" i="12"/>
  <c r="N48" i="12"/>
  <c r="N49" i="12"/>
  <c r="N50" i="12"/>
  <c r="N51" i="12"/>
  <c r="N52" i="12"/>
  <c r="N44" i="12"/>
  <c r="J84" i="12"/>
  <c r="L67" i="13"/>
  <c r="L66" i="13"/>
  <c r="J175" i="12"/>
  <c r="J104" i="12"/>
  <c r="J98" i="12"/>
  <c r="J99" i="12"/>
  <c r="J100" i="12"/>
  <c r="J102" i="12"/>
  <c r="J103" i="12"/>
  <c r="J96" i="12"/>
  <c r="J85" i="12"/>
  <c r="J86" i="12"/>
  <c r="J87" i="12"/>
  <c r="J89" i="12"/>
  <c r="J90" i="12"/>
  <c r="J91" i="12"/>
  <c r="L44" i="13"/>
  <c r="L42" i="13"/>
  <c r="J161" i="12"/>
  <c r="K52" i="13"/>
  <c r="K53" i="13"/>
  <c r="K54" i="13"/>
  <c r="K55" i="13"/>
  <c r="L55" i="13" s="1"/>
  <c r="K56" i="13"/>
  <c r="K57" i="13"/>
  <c r="K58" i="13"/>
  <c r="K59" i="13"/>
  <c r="K60" i="13"/>
  <c r="K43" i="13"/>
  <c r="K44" i="13"/>
  <c r="K45" i="13"/>
  <c r="J70" i="13"/>
  <c r="J61" i="13"/>
  <c r="L52" i="13"/>
  <c r="L53" i="13"/>
  <c r="L54" i="13"/>
  <c r="L56" i="13"/>
  <c r="L57" i="13"/>
  <c r="L58" i="13"/>
  <c r="J46" i="13"/>
  <c r="L43" i="13"/>
  <c r="L45" i="13"/>
  <c r="J37" i="13"/>
  <c r="J65" i="13" s="1"/>
  <c r="J8" i="13"/>
  <c r="J135" i="12"/>
  <c r="J97" i="12"/>
  <c r="E172" i="12"/>
  <c r="F172" i="12"/>
  <c r="E173" i="12"/>
  <c r="F173" i="12"/>
  <c r="E174" i="12"/>
  <c r="F174" i="12"/>
  <c r="E175" i="12"/>
  <c r="F175" i="12"/>
  <c r="E176" i="12"/>
  <c r="F176" i="12"/>
  <c r="E177" i="12"/>
  <c r="F177" i="12"/>
  <c r="E178" i="12"/>
  <c r="F178" i="12"/>
  <c r="E179" i="12"/>
  <c r="F179" i="12"/>
  <c r="E180" i="12"/>
  <c r="F180" i="12"/>
  <c r="G173" i="12"/>
  <c r="G174" i="12"/>
  <c r="G175" i="12"/>
  <c r="G176" i="12"/>
  <c r="G177" i="12"/>
  <c r="G178" i="12"/>
  <c r="G179" i="12"/>
  <c r="G180" i="12"/>
  <c r="G172" i="12"/>
  <c r="E161" i="12"/>
  <c r="F161" i="12"/>
  <c r="E162" i="12"/>
  <c r="F162" i="12"/>
  <c r="E163" i="12"/>
  <c r="F163" i="12"/>
  <c r="E164" i="12"/>
  <c r="F164" i="12"/>
  <c r="E165" i="12"/>
  <c r="F165" i="12"/>
  <c r="E166" i="12"/>
  <c r="F166" i="12"/>
  <c r="E167" i="12"/>
  <c r="F167" i="12"/>
  <c r="E168" i="12"/>
  <c r="F168" i="12"/>
  <c r="E169" i="12"/>
  <c r="F169" i="12"/>
  <c r="E170" i="12"/>
  <c r="F170" i="12"/>
  <c r="G162" i="12"/>
  <c r="G163" i="12"/>
  <c r="G164" i="12"/>
  <c r="G165" i="12"/>
  <c r="G166" i="12"/>
  <c r="G167" i="12"/>
  <c r="G168" i="12"/>
  <c r="G169" i="12"/>
  <c r="G170" i="12"/>
  <c r="H172" i="12"/>
  <c r="H173" i="12"/>
  <c r="I173" i="12"/>
  <c r="J173" i="12"/>
  <c r="H174" i="12"/>
  <c r="I174" i="12"/>
  <c r="J174" i="12"/>
  <c r="H175" i="12"/>
  <c r="I175" i="12"/>
  <c r="H176" i="12"/>
  <c r="I176" i="12"/>
  <c r="J176" i="12"/>
  <c r="H177" i="12"/>
  <c r="I177" i="12"/>
  <c r="J177" i="12"/>
  <c r="H178" i="12"/>
  <c r="I178" i="12"/>
  <c r="J178" i="12"/>
  <c r="H179" i="12"/>
  <c r="I179" i="12"/>
  <c r="J179" i="12"/>
  <c r="H180" i="12"/>
  <c r="I180" i="12"/>
  <c r="J180" i="12"/>
  <c r="I172" i="12"/>
  <c r="H162" i="12"/>
  <c r="I162" i="12"/>
  <c r="J162" i="12"/>
  <c r="H163" i="12"/>
  <c r="I163" i="12"/>
  <c r="J163" i="12"/>
  <c r="H164" i="12"/>
  <c r="I164" i="12"/>
  <c r="J164" i="12"/>
  <c r="H165" i="12"/>
  <c r="I165" i="12"/>
  <c r="J165" i="12"/>
  <c r="H166" i="12"/>
  <c r="I166" i="12"/>
  <c r="J166" i="12"/>
  <c r="H167" i="12"/>
  <c r="I167" i="12"/>
  <c r="J167" i="12"/>
  <c r="H168" i="12"/>
  <c r="I168" i="12"/>
  <c r="J168" i="12"/>
  <c r="H169" i="12"/>
  <c r="I169" i="12"/>
  <c r="J169" i="12"/>
  <c r="H170" i="12"/>
  <c r="I170" i="12"/>
  <c r="J170" i="12"/>
  <c r="H161" i="12"/>
  <c r="I161" i="12"/>
  <c r="J172" i="12"/>
  <c r="K22" i="13" l="1"/>
  <c r="J92" i="12"/>
  <c r="J88" i="12"/>
  <c r="J93" i="12"/>
  <c r="J101" i="12"/>
  <c r="K127" i="12"/>
  <c r="K46" i="13"/>
  <c r="K67" i="13" s="1"/>
  <c r="K61" i="13"/>
  <c r="K126" i="12"/>
  <c r="K116" i="12"/>
  <c r="K112" i="12"/>
  <c r="K111" i="12"/>
  <c r="K119" i="12"/>
  <c r="K122" i="12"/>
  <c r="K115" i="12"/>
  <c r="K125" i="12"/>
  <c r="K114" i="12"/>
  <c r="K121" i="12"/>
  <c r="K128" i="12"/>
  <c r="K113" i="12"/>
  <c r="K123" i="12"/>
  <c r="L46" i="13" l="1"/>
  <c r="D173" i="12" l="1"/>
  <c r="D174" i="12"/>
  <c r="D175" i="12"/>
  <c r="D176" i="12"/>
  <c r="D177" i="12"/>
  <c r="D178" i="12"/>
  <c r="D179" i="12"/>
  <c r="D180" i="12"/>
  <c r="D172" i="12"/>
  <c r="D162" i="12"/>
  <c r="D163" i="12"/>
  <c r="D164" i="12"/>
  <c r="D165" i="12"/>
  <c r="D166" i="12"/>
  <c r="D167" i="12"/>
  <c r="D168" i="12"/>
  <c r="D169" i="12"/>
  <c r="D170" i="12"/>
  <c r="D161" i="12"/>
  <c r="I5" i="11"/>
  <c r="H147" i="12"/>
  <c r="I147" i="12"/>
  <c r="J147" i="12"/>
  <c r="H148" i="12"/>
  <c r="I148" i="12"/>
  <c r="J148" i="12"/>
  <c r="H149" i="12"/>
  <c r="I149" i="12"/>
  <c r="J149" i="12"/>
  <c r="H150" i="12"/>
  <c r="I150" i="12"/>
  <c r="J150" i="12"/>
  <c r="H151" i="12"/>
  <c r="I151" i="12"/>
  <c r="J151" i="12"/>
  <c r="H152" i="12"/>
  <c r="I152" i="12"/>
  <c r="J152" i="12"/>
  <c r="H153" i="12"/>
  <c r="I153" i="12"/>
  <c r="J153" i="12"/>
  <c r="H154" i="12"/>
  <c r="I154" i="12"/>
  <c r="J154" i="12"/>
  <c r="I146" i="12"/>
  <c r="J146" i="12"/>
  <c r="H136" i="12"/>
  <c r="I136" i="12"/>
  <c r="J136" i="12"/>
  <c r="H137" i="12"/>
  <c r="I137" i="12"/>
  <c r="J137" i="12"/>
  <c r="H138" i="12"/>
  <c r="I138" i="12"/>
  <c r="J138" i="12"/>
  <c r="H139" i="12"/>
  <c r="I139" i="12"/>
  <c r="J139" i="12"/>
  <c r="H140" i="12"/>
  <c r="I140" i="12"/>
  <c r="J140" i="12"/>
  <c r="H141" i="12"/>
  <c r="I141" i="12"/>
  <c r="J141" i="12"/>
  <c r="H142" i="12"/>
  <c r="I142" i="12"/>
  <c r="J142" i="12"/>
  <c r="H143" i="12"/>
  <c r="I143" i="12"/>
  <c r="J143" i="12"/>
  <c r="H144" i="12"/>
  <c r="I144" i="12"/>
  <c r="J144" i="12"/>
  <c r="I135" i="12"/>
  <c r="H146" i="12"/>
  <c r="H135" i="12"/>
  <c r="G147" i="12"/>
  <c r="G148" i="12"/>
  <c r="G149" i="12"/>
  <c r="G150" i="12"/>
  <c r="G151" i="12"/>
  <c r="G152" i="12"/>
  <c r="G153" i="12"/>
  <c r="G154" i="12"/>
  <c r="G146" i="12"/>
  <c r="G136" i="12"/>
  <c r="G137" i="12"/>
  <c r="G138" i="12"/>
  <c r="G139" i="12"/>
  <c r="G140" i="12"/>
  <c r="G141" i="12"/>
  <c r="G142" i="12"/>
  <c r="G143" i="12"/>
  <c r="G144" i="12"/>
  <c r="G135" i="12"/>
  <c r="F146" i="12"/>
  <c r="F147" i="12"/>
  <c r="F148" i="12"/>
  <c r="F149" i="12"/>
  <c r="F150" i="12"/>
  <c r="F151" i="12"/>
  <c r="F152" i="12"/>
  <c r="F153" i="12"/>
  <c r="F154" i="12"/>
  <c r="F136" i="12"/>
  <c r="F137" i="12"/>
  <c r="F138" i="12"/>
  <c r="F139" i="12"/>
  <c r="F140" i="12"/>
  <c r="F141" i="12"/>
  <c r="F142" i="12"/>
  <c r="F143" i="12"/>
  <c r="F144" i="12"/>
  <c r="F135" i="12"/>
  <c r="E147" i="12"/>
  <c r="E148" i="12"/>
  <c r="E149" i="12"/>
  <c r="E150" i="12"/>
  <c r="E151" i="12"/>
  <c r="E152" i="12"/>
  <c r="E153" i="12"/>
  <c r="E154" i="12"/>
  <c r="E146" i="12"/>
  <c r="E136" i="12"/>
  <c r="E137" i="12"/>
  <c r="E138" i="12"/>
  <c r="E139" i="12"/>
  <c r="E140" i="12"/>
  <c r="E141" i="12"/>
  <c r="E142" i="12"/>
  <c r="E143" i="12"/>
  <c r="E144" i="12"/>
  <c r="E135" i="12"/>
  <c r="D147" i="12"/>
  <c r="D148" i="12"/>
  <c r="D149" i="12"/>
  <c r="D150" i="12"/>
  <c r="D151" i="12"/>
  <c r="D152" i="12"/>
  <c r="D153" i="12"/>
  <c r="D154" i="12"/>
  <c r="D146" i="12"/>
  <c r="D136" i="12"/>
  <c r="D137" i="12"/>
  <c r="D138" i="12"/>
  <c r="D139" i="12"/>
  <c r="D140" i="12"/>
  <c r="D141" i="12"/>
  <c r="D142" i="12"/>
  <c r="D143" i="12"/>
  <c r="D144" i="12"/>
  <c r="D135" i="12"/>
  <c r="I7" i="11"/>
  <c r="I28" i="13"/>
  <c r="J26" i="12"/>
  <c r="I61" i="13"/>
  <c r="H7" i="11" s="1"/>
  <c r="I46" i="13"/>
  <c r="I67" i="13" s="1"/>
  <c r="I37" i="13"/>
  <c r="I65" i="13" s="1"/>
  <c r="I29" i="13"/>
  <c r="H29" i="13"/>
  <c r="I8" i="13"/>
  <c r="H61" i="13"/>
  <c r="G7" i="11" s="1"/>
  <c r="G61" i="13"/>
  <c r="F7" i="11" s="1"/>
  <c r="E46" i="13"/>
  <c r="E67" i="13" s="1"/>
  <c r="H46" i="13"/>
  <c r="H67" i="13" s="1"/>
  <c r="G46" i="13"/>
  <c r="G67" i="13" s="1"/>
  <c r="F46" i="13"/>
  <c r="F67" i="13" s="1"/>
  <c r="I78" i="12"/>
  <c r="I26" i="12"/>
  <c r="I9" i="13" s="1"/>
  <c r="I16" i="13" s="1"/>
  <c r="H78" i="12"/>
  <c r="G78" i="12"/>
  <c r="S26" i="12" l="1"/>
  <c r="D3" i="14"/>
  <c r="H98" i="12"/>
  <c r="H102" i="12"/>
  <c r="H85" i="12"/>
  <c r="H89" i="12"/>
  <c r="H84" i="12"/>
  <c r="H97" i="12"/>
  <c r="H88" i="12"/>
  <c r="H99" i="12"/>
  <c r="H104" i="12"/>
  <c r="H86" i="12"/>
  <c r="H90" i="12"/>
  <c r="H93" i="12"/>
  <c r="H103" i="12"/>
  <c r="H100" i="12"/>
  <c r="H96" i="12"/>
  <c r="H87" i="12"/>
  <c r="H91" i="12"/>
  <c r="H101" i="12"/>
  <c r="H92" i="12"/>
  <c r="I98" i="12"/>
  <c r="I102" i="12"/>
  <c r="I85" i="12"/>
  <c r="I89" i="12"/>
  <c r="I93" i="12"/>
  <c r="I97" i="12"/>
  <c r="I96" i="12"/>
  <c r="I99" i="12"/>
  <c r="I103" i="12"/>
  <c r="I86" i="12"/>
  <c r="I90" i="12"/>
  <c r="I84" i="12"/>
  <c r="I88" i="12"/>
  <c r="I100" i="12"/>
  <c r="I104" i="12"/>
  <c r="I87" i="12"/>
  <c r="I91" i="12"/>
  <c r="R26" i="12"/>
  <c r="I101" i="12"/>
  <c r="I92" i="12"/>
  <c r="G100" i="12"/>
  <c r="G104" i="12"/>
  <c r="G87" i="12"/>
  <c r="G91" i="12"/>
  <c r="G99" i="12"/>
  <c r="G90" i="12"/>
  <c r="G97" i="12"/>
  <c r="G101" i="12"/>
  <c r="G96" i="12"/>
  <c r="G88" i="12"/>
  <c r="G92" i="12"/>
  <c r="G103" i="12"/>
  <c r="G84" i="12"/>
  <c r="G98" i="12"/>
  <c r="G102" i="12"/>
  <c r="G85" i="12"/>
  <c r="G89" i="12"/>
  <c r="G93" i="12"/>
  <c r="G86" i="12"/>
  <c r="N12" i="13"/>
  <c r="J48" i="12"/>
  <c r="I69" i="13"/>
  <c r="K7" i="11"/>
  <c r="J38" i="12"/>
  <c r="J33" i="12"/>
  <c r="J49" i="12"/>
  <c r="J37" i="12"/>
  <c r="J44" i="12"/>
  <c r="J47" i="12"/>
  <c r="J15" i="13"/>
  <c r="J41" i="12"/>
  <c r="J36" i="12"/>
  <c r="J51" i="12"/>
  <c r="J46" i="12"/>
  <c r="J40" i="12"/>
  <c r="J34" i="12"/>
  <c r="J50" i="12"/>
  <c r="J45" i="12"/>
  <c r="J155" i="12"/>
  <c r="I4" i="11" s="1"/>
  <c r="I6" i="11" s="1"/>
  <c r="G155" i="12"/>
  <c r="F4" i="11" s="1"/>
  <c r="J39" i="12"/>
  <c r="J35" i="12"/>
  <c r="J52" i="12"/>
  <c r="I14" i="13"/>
  <c r="I155" i="12"/>
  <c r="H4" i="11" s="1"/>
  <c r="H155" i="12"/>
  <c r="G4" i="11" s="1"/>
  <c r="F155" i="12"/>
  <c r="E4" i="11" s="1"/>
  <c r="E155" i="12"/>
  <c r="D4" i="11" s="1"/>
  <c r="D155" i="12"/>
  <c r="C4" i="11" s="1"/>
  <c r="I38" i="12"/>
  <c r="I34" i="12"/>
  <c r="I51" i="12"/>
  <c r="I32" i="12"/>
  <c r="I47" i="12"/>
  <c r="I36" i="12"/>
  <c r="I49" i="12"/>
  <c r="I40" i="12"/>
  <c r="I44" i="12"/>
  <c r="I45" i="12"/>
  <c r="I39" i="12"/>
  <c r="I35" i="12"/>
  <c r="I52" i="12"/>
  <c r="I48" i="12"/>
  <c r="I41" i="12"/>
  <c r="I37" i="12"/>
  <c r="I33" i="12"/>
  <c r="I50" i="12"/>
  <c r="I46" i="12"/>
  <c r="H5" i="11"/>
  <c r="I15" i="13"/>
  <c r="H26" i="12"/>
  <c r="Q26" i="12" s="1"/>
  <c r="F61" i="13"/>
  <c r="E7" i="11" s="1"/>
  <c r="E61" i="13"/>
  <c r="D7" i="11" s="1"/>
  <c r="D61" i="13"/>
  <c r="C7" i="11" s="1"/>
  <c r="D46" i="13"/>
  <c r="D67" i="13" s="1"/>
  <c r="H37" i="13"/>
  <c r="H65" i="13" s="1"/>
  <c r="H69" i="13" s="1"/>
  <c r="G37" i="13"/>
  <c r="G65" i="13" s="1"/>
  <c r="G69" i="13" s="1"/>
  <c r="F37" i="13"/>
  <c r="F65" i="13" s="1"/>
  <c r="F70" i="13" s="1"/>
  <c r="E37" i="13"/>
  <c r="E65" i="13" s="1"/>
  <c r="E70" i="13" s="1"/>
  <c r="D37" i="13"/>
  <c r="D65" i="13" s="1"/>
  <c r="G29" i="13"/>
  <c r="F29" i="13"/>
  <c r="E29" i="13"/>
  <c r="H28" i="13"/>
  <c r="G28" i="13"/>
  <c r="F28" i="13"/>
  <c r="E28" i="13"/>
  <c r="D23" i="13"/>
  <c r="D22" i="13"/>
  <c r="H8" i="13"/>
  <c r="G8" i="13"/>
  <c r="F8" i="13"/>
  <c r="E8" i="13"/>
  <c r="D8" i="13"/>
  <c r="D78" i="12"/>
  <c r="E78" i="12"/>
  <c r="F78" i="12"/>
  <c r="D26" i="12"/>
  <c r="E26" i="12"/>
  <c r="F26" i="12"/>
  <c r="G26" i="12"/>
  <c r="P26" i="12" s="1"/>
  <c r="F103" i="12" l="1"/>
  <c r="F100" i="12"/>
  <c r="F96" i="12"/>
  <c r="F88" i="12"/>
  <c r="F92" i="12"/>
  <c r="F104" i="12"/>
  <c r="F97" i="12"/>
  <c r="F101" i="12"/>
  <c r="F85" i="12"/>
  <c r="F89" i="12"/>
  <c r="F93" i="12"/>
  <c r="O26" i="12"/>
  <c r="F87" i="12"/>
  <c r="F98" i="12"/>
  <c r="F102" i="12"/>
  <c r="F86" i="12"/>
  <c r="F90" i="12"/>
  <c r="F84" i="12"/>
  <c r="F99" i="12"/>
  <c r="F91" i="12"/>
  <c r="L9" i="13"/>
  <c r="E97" i="12"/>
  <c r="E101" i="12"/>
  <c r="E93" i="12"/>
  <c r="E88" i="12"/>
  <c r="E92" i="12"/>
  <c r="N26" i="12"/>
  <c r="E102" i="12"/>
  <c r="E87" i="12"/>
  <c r="E98" i="12"/>
  <c r="E103" i="12"/>
  <c r="E85" i="12"/>
  <c r="E89" i="12"/>
  <c r="E84" i="12"/>
  <c r="E100" i="12"/>
  <c r="E91" i="12"/>
  <c r="E99" i="12"/>
  <c r="E104" i="12"/>
  <c r="E86" i="12"/>
  <c r="E90" i="12"/>
  <c r="E96" i="12"/>
  <c r="D99" i="12"/>
  <c r="N99" i="12" s="1"/>
  <c r="D103" i="12"/>
  <c r="D85" i="12"/>
  <c r="N85" i="12" s="1"/>
  <c r="D89" i="12"/>
  <c r="N89" i="12" s="1"/>
  <c r="D84" i="12"/>
  <c r="N84" i="12" s="1"/>
  <c r="D93" i="12"/>
  <c r="D100" i="12"/>
  <c r="N100" i="12" s="1"/>
  <c r="D104" i="12"/>
  <c r="N104" i="12" s="1"/>
  <c r="D86" i="12"/>
  <c r="N86" i="12" s="1"/>
  <c r="D90" i="12"/>
  <c r="N90" i="12" s="1"/>
  <c r="D102" i="12"/>
  <c r="D88" i="12"/>
  <c r="N88" i="12" s="1"/>
  <c r="D97" i="12"/>
  <c r="D101" i="12"/>
  <c r="N101" i="12" s="1"/>
  <c r="D96" i="12"/>
  <c r="D87" i="12"/>
  <c r="N87" i="12" s="1"/>
  <c r="D91" i="12"/>
  <c r="D98" i="12"/>
  <c r="D92" i="12"/>
  <c r="I11" i="11"/>
  <c r="I15" i="11" s="1"/>
  <c r="I19" i="11" s="1"/>
  <c r="I22" i="11" s="1"/>
  <c r="J14" i="13"/>
  <c r="J16" i="13"/>
  <c r="D9" i="13"/>
  <c r="D15" i="13" s="1"/>
  <c r="H6" i="11"/>
  <c r="E9" i="13"/>
  <c r="E15" i="13" s="1"/>
  <c r="F9" i="13"/>
  <c r="F14" i="13" s="1"/>
  <c r="G48" i="12"/>
  <c r="G9" i="13"/>
  <c r="G16" i="13" s="1"/>
  <c r="G32" i="12"/>
  <c r="H44" i="12"/>
  <c r="H9" i="13"/>
  <c r="G5" i="11"/>
  <c r="D28" i="13"/>
  <c r="D29" i="13"/>
  <c r="E47" i="12"/>
  <c r="E33" i="12"/>
  <c r="E37" i="12"/>
  <c r="E41" i="12"/>
  <c r="E35" i="12"/>
  <c r="E39" i="12"/>
  <c r="E34" i="12"/>
  <c r="E38" i="12"/>
  <c r="E32" i="12"/>
  <c r="E36" i="12"/>
  <c r="E40" i="12"/>
  <c r="G46" i="12"/>
  <c r="H45" i="12"/>
  <c r="H41" i="12"/>
  <c r="D51" i="12"/>
  <c r="D46" i="12"/>
  <c r="D44" i="12"/>
  <c r="D47" i="12"/>
  <c r="D45" i="12"/>
  <c r="G38" i="12"/>
  <c r="H34" i="12"/>
  <c r="G35" i="12"/>
  <c r="H38" i="12"/>
  <c r="G51" i="12"/>
  <c r="H49" i="12"/>
  <c r="F50" i="12"/>
  <c r="F45" i="12"/>
  <c r="F49" i="12"/>
  <c r="F47" i="12"/>
  <c r="G50" i="12"/>
  <c r="H40" i="12"/>
  <c r="H36" i="12"/>
  <c r="F39" i="12"/>
  <c r="F51" i="12"/>
  <c r="F46" i="12"/>
  <c r="G47" i="12"/>
  <c r="H51" i="12"/>
  <c r="H47" i="12"/>
  <c r="G49" i="12"/>
  <c r="G45" i="12"/>
  <c r="H52" i="12"/>
  <c r="H50" i="12"/>
  <c r="H48" i="12"/>
  <c r="H46" i="12"/>
  <c r="F35" i="12"/>
  <c r="F52" i="12"/>
  <c r="F48" i="12"/>
  <c r="G52" i="12"/>
  <c r="H39" i="12"/>
  <c r="H37" i="12"/>
  <c r="H35" i="12"/>
  <c r="H33" i="12"/>
  <c r="D39" i="12"/>
  <c r="D48" i="12"/>
  <c r="D35" i="12"/>
  <c r="N35" i="12" s="1"/>
  <c r="D52" i="12"/>
  <c r="D50" i="12"/>
  <c r="D49" i="12"/>
  <c r="E50" i="12"/>
  <c r="E49" i="12"/>
  <c r="E46" i="12"/>
  <c r="E45" i="12"/>
  <c r="E52" i="12"/>
  <c r="E48" i="12"/>
  <c r="E51" i="12"/>
  <c r="F32" i="12"/>
  <c r="F38" i="12"/>
  <c r="F34" i="12"/>
  <c r="D32" i="12"/>
  <c r="D38" i="12"/>
  <c r="D34" i="12"/>
  <c r="G40" i="12"/>
  <c r="G37" i="12"/>
  <c r="F41" i="12"/>
  <c r="F37" i="12"/>
  <c r="F33" i="12"/>
  <c r="D41" i="12"/>
  <c r="D37" i="12"/>
  <c r="D33" i="12"/>
  <c r="G39" i="12"/>
  <c r="G34" i="12"/>
  <c r="F40" i="12"/>
  <c r="F36" i="12"/>
  <c r="D40" i="12"/>
  <c r="N40" i="12" s="1"/>
  <c r="D36" i="12"/>
  <c r="G41" i="12"/>
  <c r="G36" i="12"/>
  <c r="G33" i="12"/>
  <c r="H32" i="12"/>
  <c r="G44" i="12"/>
  <c r="F44" i="12"/>
  <c r="E44" i="12"/>
  <c r="N92" i="12" l="1"/>
  <c r="N96" i="12"/>
  <c r="N102" i="12"/>
  <c r="N37" i="12"/>
  <c r="N38" i="12"/>
  <c r="N98" i="12"/>
  <c r="N36" i="12"/>
  <c r="N41" i="12"/>
  <c r="N39" i="12"/>
  <c r="N91" i="12"/>
  <c r="N97" i="12"/>
  <c r="N93" i="12"/>
  <c r="N103" i="12"/>
  <c r="N33" i="12"/>
  <c r="N34" i="12"/>
  <c r="E16" i="13"/>
  <c r="F15" i="13"/>
  <c r="E14" i="13"/>
  <c r="D16" i="13"/>
  <c r="F16" i="13"/>
  <c r="G6" i="11"/>
  <c r="D14" i="13"/>
  <c r="G14" i="13"/>
  <c r="G15" i="13"/>
  <c r="H16" i="13"/>
  <c r="H15" i="13"/>
  <c r="H14" i="13"/>
  <c r="H11" i="11"/>
  <c r="D5" i="11"/>
  <c r="E5" i="11"/>
  <c r="K14" i="12" l="1"/>
  <c r="L14" i="12" s="1"/>
  <c r="K8" i="12"/>
  <c r="L8" i="12" s="1"/>
  <c r="K24" i="12"/>
  <c r="L24" i="12" s="1"/>
  <c r="K13" i="12"/>
  <c r="L13" i="12" s="1"/>
  <c r="K21" i="12"/>
  <c r="L21" i="12" s="1"/>
  <c r="K18" i="12"/>
  <c r="L18" i="12" s="1"/>
  <c r="K11" i="12"/>
  <c r="L11" i="12" s="1"/>
  <c r="K20" i="12"/>
  <c r="L20" i="12" s="1"/>
  <c r="K19" i="12"/>
  <c r="L19" i="12" s="1"/>
  <c r="K25" i="12"/>
  <c r="L25" i="12" s="1"/>
  <c r="K22" i="12"/>
  <c r="L22" i="12" s="1"/>
  <c r="K15" i="12"/>
  <c r="L15" i="12" s="1"/>
  <c r="K23" i="12"/>
  <c r="L23" i="12" s="1"/>
  <c r="K10" i="12"/>
  <c r="L10" i="12" s="1"/>
  <c r="K17" i="12"/>
  <c r="L17" i="12" s="1"/>
  <c r="K12" i="12"/>
  <c r="L12" i="12" s="1"/>
  <c r="K9" i="13"/>
  <c r="K9" i="12"/>
  <c r="L9" i="12" s="1"/>
  <c r="K7" i="12"/>
  <c r="L7" i="12" s="1"/>
  <c r="K77" i="12"/>
  <c r="L77" i="12" s="1"/>
  <c r="K71" i="12"/>
  <c r="L71" i="12" s="1"/>
  <c r="K61" i="12"/>
  <c r="L61" i="12" s="1"/>
  <c r="K60" i="12"/>
  <c r="L60" i="12" s="1"/>
  <c r="K75" i="12"/>
  <c r="L75" i="12" s="1"/>
  <c r="K65" i="12"/>
  <c r="L65" i="12" s="1"/>
  <c r="K74" i="12"/>
  <c r="L74" i="12" s="1"/>
  <c r="K67" i="12"/>
  <c r="L67" i="12" s="1"/>
  <c r="K76" i="12"/>
  <c r="K70" i="12"/>
  <c r="L70" i="12" s="1"/>
  <c r="K59" i="12"/>
  <c r="L59" i="12" s="1"/>
  <c r="K69" i="12"/>
  <c r="L69" i="12" s="1"/>
  <c r="K72" i="12"/>
  <c r="L72" i="12" s="1"/>
  <c r="K62" i="12"/>
  <c r="L62" i="12" s="1"/>
  <c r="K63" i="12"/>
  <c r="L63" i="12" s="1"/>
  <c r="K64" i="12"/>
  <c r="L64" i="12" s="1"/>
  <c r="K66" i="12"/>
  <c r="L66" i="12" s="1"/>
  <c r="K73" i="12"/>
  <c r="L73" i="12" s="1"/>
  <c r="T26" i="12"/>
  <c r="G11" i="11"/>
  <c r="G15" i="11" s="1"/>
  <c r="Q6" i="11"/>
  <c r="H15" i="11"/>
  <c r="H19" i="11" s="1"/>
  <c r="H22" i="11" s="1"/>
  <c r="E6" i="11"/>
  <c r="K154" i="12" l="1"/>
  <c r="L154" i="12" s="1"/>
  <c r="K137" i="12"/>
  <c r="L137" i="12" s="1"/>
  <c r="L112" i="12" s="1"/>
  <c r="K34" i="13"/>
  <c r="L34" i="13" s="1"/>
  <c r="K138" i="12"/>
  <c r="L138" i="12" s="1"/>
  <c r="L113" i="12" s="1"/>
  <c r="K139" i="12"/>
  <c r="L139" i="12" s="1"/>
  <c r="L114" i="12" s="1"/>
  <c r="K136" i="12"/>
  <c r="L136" i="12" s="1"/>
  <c r="K146" i="12"/>
  <c r="L146" i="12" s="1"/>
  <c r="L121" i="12" s="1"/>
  <c r="K151" i="12"/>
  <c r="L151" i="12" s="1"/>
  <c r="L126" i="12" s="1"/>
  <c r="K140" i="12"/>
  <c r="L140" i="12" s="1"/>
  <c r="L115" i="12" s="1"/>
  <c r="K147" i="12"/>
  <c r="L147" i="12" s="1"/>
  <c r="L122" i="12" s="1"/>
  <c r="L76" i="12"/>
  <c r="K153" i="12"/>
  <c r="L153" i="12" s="1"/>
  <c r="K6" i="13"/>
  <c r="K35" i="13" s="1"/>
  <c r="K7" i="13"/>
  <c r="K36" i="13" s="1"/>
  <c r="L36" i="13" s="1"/>
  <c r="L23" i="13" s="1"/>
  <c r="K152" i="12"/>
  <c r="L152" i="12" s="1"/>
  <c r="L127" i="12" s="1"/>
  <c r="K148" i="12"/>
  <c r="L148" i="12" s="1"/>
  <c r="K150" i="12"/>
  <c r="L150" i="12" s="1"/>
  <c r="L125" i="12" s="1"/>
  <c r="K143" i="12"/>
  <c r="L143" i="12" s="1"/>
  <c r="L118" i="12" s="1"/>
  <c r="D5" i="14" s="1"/>
  <c r="K141" i="12"/>
  <c r="L141" i="12" s="1"/>
  <c r="L116" i="12" s="1"/>
  <c r="K144" i="12"/>
  <c r="L144" i="12" s="1"/>
  <c r="L119" i="12" s="1"/>
  <c r="K149" i="12"/>
  <c r="L149" i="12" s="1"/>
  <c r="L124" i="12" s="1"/>
  <c r="K142" i="12"/>
  <c r="L142" i="12" s="1"/>
  <c r="L117" i="12" s="1"/>
  <c r="G16" i="11"/>
  <c r="G19" i="11" s="1"/>
  <c r="G22" i="11" s="1"/>
  <c r="E11" i="11"/>
  <c r="E15" i="11" s="1"/>
  <c r="E19" i="11" s="1"/>
  <c r="E22" i="11" s="1"/>
  <c r="O6" i="11"/>
  <c r="L111" i="12" l="1"/>
  <c r="L155" i="12"/>
  <c r="K8" i="13"/>
  <c r="L128" i="12"/>
  <c r="L6" i="13"/>
  <c r="K155" i="12"/>
  <c r="J4" i="11" s="1"/>
  <c r="L5" i="13"/>
  <c r="L21" i="13" s="1"/>
  <c r="D7" i="14" s="1"/>
  <c r="D6" i="11"/>
  <c r="L35" i="13" l="1"/>
  <c r="K37" i="13"/>
  <c r="K65" i="13" s="1"/>
  <c r="L8" i="13"/>
  <c r="K4" i="11"/>
  <c r="D11" i="11"/>
  <c r="D15" i="11" s="1"/>
  <c r="N6" i="11"/>
  <c r="L22" i="13" l="1"/>
  <c r="L37" i="13"/>
  <c r="L65" i="13"/>
  <c r="L70" i="13" s="1"/>
  <c r="K70" i="13"/>
  <c r="J5" i="11" s="1"/>
  <c r="J6" i="11" s="1"/>
  <c r="D19" i="11"/>
  <c r="D22" i="11" s="1"/>
  <c r="J11" i="11" l="1"/>
  <c r="J15" i="11" s="1"/>
  <c r="T6" i="11"/>
  <c r="F5" i="11"/>
  <c r="F6" i="11" s="1"/>
  <c r="J16" i="11" l="1"/>
  <c r="K16" i="11" s="1"/>
  <c r="F11" i="11"/>
  <c r="F15" i="11" s="1"/>
  <c r="F19" i="11" s="1"/>
  <c r="F22" i="11" s="1"/>
  <c r="P6" i="11"/>
  <c r="D70" i="13"/>
  <c r="C5" i="11" s="1"/>
  <c r="C6" i="11" s="1"/>
  <c r="J19" i="11" l="1"/>
  <c r="J22" i="11" s="1"/>
  <c r="M6" i="11"/>
  <c r="C11" i="11"/>
  <c r="C15" i="11" s="1"/>
  <c r="C19" i="11" s="1"/>
  <c r="C22" i="11" s="1"/>
  <c r="K5" i="11" l="1"/>
  <c r="K6" i="11" s="1"/>
  <c r="U6" i="11" s="1"/>
  <c r="K11" i="11" l="1"/>
  <c r="K15" i="11" s="1"/>
  <c r="K19" i="11" s="1"/>
  <c r="K22" i="11" s="1"/>
  <c r="D11" i="14" s="1"/>
  <c r="J4" i="14" l="1"/>
  <c r="D16" i="14"/>
  <c r="D15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F65" authorId="0" shapeId="0" xr:uid="{CB672332-B8CD-4E20-892D-71F13FA64419}">
      <text>
        <r>
          <rPr>
            <b/>
            <sz val="11"/>
            <color indexed="81"/>
            <rFont val="B Nazanin"/>
            <charset val="178"/>
          </rPr>
          <t>نرخ را داریم و در مقدار مصرف ضرب میکنیم</t>
        </r>
      </text>
    </comment>
    <comment ref="G95" authorId="0" shapeId="0" xr:uid="{00000000-0006-0000-0500-000005000000}">
      <text>
        <r>
          <rPr>
            <b/>
            <sz val="11"/>
            <color indexed="81"/>
            <rFont val="B Nazanin"/>
            <charset val="178"/>
          </rPr>
          <t>نرخ را داریم و در مقدار مصرف ضرب میکنیم</t>
        </r>
      </text>
    </comment>
  </commentList>
</comments>
</file>

<file path=xl/sharedStrings.xml><?xml version="1.0" encoding="utf-8"?>
<sst xmlns="http://schemas.openxmlformats.org/spreadsheetml/2006/main" count="549" uniqueCount="115">
  <si>
    <t>شرح</t>
  </si>
  <si>
    <t xml:space="preserve">  دوره منتهی به ۱۳۹۹/۱۲/۳۰</t>
  </si>
  <si>
    <t>دوره منتهي به ۱۴۰۰/۱۲/۲۹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</si>
  <si>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</si>
  <si>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</si>
  <si>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</si>
  <si>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</si>
  <si>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</si>
  <si>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</si>
  <si>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</si>
  <si>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</si>
  <si>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</si>
  <si>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</si>
  <si>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سایر درآمدها و هزینه‌های غیرعملیاتی- اقلام متفرقه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</si>
  <si>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</si>
  <si>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</si>
  <si>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</si>
  <si>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</si>
  <si>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</si>
  <si>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</si>
  <si>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</si>
  <si>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</si>
  <si>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مقدار تولید</t>
  </si>
  <si>
    <t>واحد</t>
  </si>
  <si>
    <t>داخلی</t>
  </si>
  <si>
    <t>تن</t>
  </si>
  <si>
    <t xml:space="preserve"> صادراتی</t>
  </si>
  <si>
    <t>جمع کل</t>
  </si>
  <si>
    <t>نرخ فروش</t>
  </si>
  <si>
    <t>ریال</t>
  </si>
  <si>
    <t>مقدار مصرف مواد اولیه</t>
  </si>
  <si>
    <t xml:space="preserve">جمع </t>
  </si>
  <si>
    <t>ضریب مصرف</t>
  </si>
  <si>
    <t>نرخ  مواد اولیه</t>
  </si>
  <si>
    <t>مبلغ  مواد مصرفی</t>
  </si>
  <si>
    <t>بهای تمام شده کالای فروش رفته</t>
  </si>
  <si>
    <t>مواد مستقیم مصرفی</t>
  </si>
  <si>
    <t>م -ر</t>
  </si>
  <si>
    <t>دستمزد مستقیم تولید</t>
  </si>
  <si>
    <t>سربار تولید</t>
  </si>
  <si>
    <t>تغییر در موجودی کالا</t>
  </si>
  <si>
    <t>جمع</t>
  </si>
  <si>
    <t>سربار</t>
  </si>
  <si>
    <t>هزینه حقوق و دستمزد</t>
  </si>
  <si>
    <t>هزینه استهلاک</t>
  </si>
  <si>
    <t>هزینه انرژی (آب، برق، گاز و سوخت)</t>
  </si>
  <si>
    <t>هزینه مواد مصرفی</t>
  </si>
  <si>
    <t>هزینه تبلیغات</t>
  </si>
  <si>
    <t>حق العمل و کمیسیون فروش</t>
  </si>
  <si>
    <t>هزینه خدمات پس از فروش</t>
  </si>
  <si>
    <t>هزینه مطالبات مشکوک الوصول</t>
  </si>
  <si>
    <t>هزینه حمل و نقل و انتقال</t>
  </si>
  <si>
    <t>سایر هزینه ها</t>
  </si>
  <si>
    <t>هزینه های اداری و عمومی و فروش</t>
  </si>
  <si>
    <t>دلار</t>
  </si>
  <si>
    <t>شرایط p/e</t>
  </si>
  <si>
    <t>نسبت تولید به کل تولید</t>
  </si>
  <si>
    <t>جمع تولید</t>
  </si>
  <si>
    <t>مقدار فروش(تعداد)</t>
  </si>
  <si>
    <t>دوره منتهي به ۱۴۰2/۱۲/۲۹</t>
  </si>
  <si>
    <t>دوره منتهي به ۱۴۰1/۱۲/۲۹</t>
  </si>
  <si>
    <t>سود</t>
  </si>
  <si>
    <t xml:space="preserve">روغن موتور بنزيني </t>
  </si>
  <si>
    <t xml:space="preserve">روغن موتور ديزلي </t>
  </si>
  <si>
    <t xml:space="preserve">ساير روغن هاي موتوري </t>
  </si>
  <si>
    <t xml:space="preserve">روغن هاي صنعتي </t>
  </si>
  <si>
    <t xml:space="preserve">گريس </t>
  </si>
  <si>
    <t xml:space="preserve">ضديخ </t>
  </si>
  <si>
    <t xml:space="preserve">اسلاک واکس </t>
  </si>
  <si>
    <t xml:space="preserve">روغن هاي فرايند </t>
  </si>
  <si>
    <t xml:space="preserve">روغن پايه </t>
  </si>
  <si>
    <t xml:space="preserve">پارافين </t>
  </si>
  <si>
    <t>صادراتی</t>
  </si>
  <si>
    <t>فوتس اویل</t>
  </si>
  <si>
    <t>بودجه 1403 شرکت</t>
  </si>
  <si>
    <t>تحلیلی 1403</t>
  </si>
  <si>
    <t>لوب کات</t>
  </si>
  <si>
    <t>آيزروسايکل</t>
  </si>
  <si>
    <t>ساير مواد افزودني، بسته بندي و ملزومات</t>
  </si>
  <si>
    <t>نسبت سایر مواد به لوبکات</t>
  </si>
  <si>
    <t>تولید داخلی</t>
  </si>
  <si>
    <t>3 ماهه 1403</t>
  </si>
  <si>
    <t xml:space="preserve">نرخ دلار </t>
  </si>
  <si>
    <t>پیشبینی دوره منتهي به ۱۴۰3/۱۲/۲۹</t>
  </si>
  <si>
    <t>سه ماهه 1403</t>
  </si>
  <si>
    <t>ضریبی از لوبکات</t>
  </si>
  <si>
    <t>مالیات حدود 14%</t>
  </si>
  <si>
    <t>6 ماهه 1403</t>
  </si>
  <si>
    <t>6 ماهه</t>
  </si>
  <si>
    <t>مقدار * نرخ</t>
  </si>
  <si>
    <t>شش ماهه * 2</t>
  </si>
  <si>
    <t xml:space="preserve"> </t>
  </si>
  <si>
    <t>مبلغ فروش</t>
  </si>
  <si>
    <t xml:space="preserve">بر  اساس 6 ماهه کل مبلغو تقسیم بر کل فروش کردم و برای کل سال هم همینطور </t>
  </si>
  <si>
    <t xml:space="preserve">نرخ روغن پایه  </t>
  </si>
  <si>
    <t>ضریب محصولات به روغن پایه</t>
  </si>
  <si>
    <t>بر اساس روغن پایه و ضرایب</t>
  </si>
  <si>
    <t xml:space="preserve">نرخ لوبکات  </t>
  </si>
  <si>
    <t>6 ماهه *2</t>
  </si>
  <si>
    <t>برآورد شرکت 6 ماهه</t>
  </si>
  <si>
    <t>ارزش بازار</t>
  </si>
  <si>
    <t>میلیون ریال</t>
  </si>
  <si>
    <t>بر اساس نرخ دلار و نرخ دلاری نفت کوره</t>
  </si>
  <si>
    <t xml:space="preserve">نرخ نفت کوره </t>
  </si>
  <si>
    <t>روغن پایه</t>
  </si>
  <si>
    <t xml:space="preserve"> داخلی</t>
  </si>
  <si>
    <t>موجودی ابتدای دوره</t>
  </si>
  <si>
    <t>موجودی انتهای دوره</t>
  </si>
  <si>
    <t>6 پیشبینی ماهه دوم</t>
  </si>
  <si>
    <t>نسبت فروش به کل فروش</t>
  </si>
  <si>
    <t>ave</t>
  </si>
  <si>
    <t>6 ماهه دوم</t>
  </si>
  <si>
    <t>مبلغ موجودی انتهای دوره = تعداد موجودی انتهای دوره * نرخ میانگین موزون تولید</t>
  </si>
  <si>
    <t>نرخ میانگین موزون تولید = ( مبلغ تولید طی دوره + مبلغ موجودی ابتدای دوره ) / (تعداد تولید طی دوره + تعداد موجودی ابتدای دوره )</t>
  </si>
  <si>
    <t>تعداد موجودی انتهای دوره = تعداد تولید - تعداد فروش  + تعداد موجودی ابتدای دوره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</si>
</sst>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  <numFmt numFmtId="166" formatCode="_(* #,##0_);_(* \(#,##0\);_(* &quot;-&quot;??_);_(@_)"/>
    <numFmt numFmtId="167" formatCode="[$-3000401]#,##0"/>
    <numFmt numFmtId="168" formatCode="0_);[Red]\(0\)"/>
    <numFmt numFmtId="169" formatCode="[$-3000401]0"/>
    <numFmt numFmtId="170" formatCode="0.00_);[Red]\(0.00\)"/>
    <numFmt numFmtId="171" formatCode="_(* #,##0.0000_);_(* \(#,##0.0000\);_(* &quot;-&quot;??_);_(@_)"/>
    <numFmt numFmtId="172" formatCode="0.000_);[Red]\(0.000\)"/>
    <numFmt numFmtId="173" formatCode="0.0%"/>
    <numFmt numFmtId="174" formatCode="0.0"/>
    <numFmt numFmtId="175" formatCode="_(* #,##0.0_);_(* \(#,##0.0\);_(* &quot;-&quot;?_);_(@_)"/>
    <numFmt numFmtId="176" formatCode="_(* #,##0.000_);_(* \(#,##0.000\);_(* &quot;-&quot;??_);_(@_)"/>
    <numFmt numFmtId="177" formatCode="_ * #,##0.0000_-_ر_ي_ا_ل_ ;_ * #,##0.0000\-_ر_ي_ا_ل_ ;_ * &quot;-&quot;??_-_ر_ي_ا_ل_ ;_ @_ "/>
  </numFmts>
  <fonts count="3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11"/>
      <color indexed="81"/>
      <name val="B Nazanin"/>
      <charset val="178"/>
    </font>
    <font>
      <sz val="12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sz val="11"/>
      <name val="B Nazanin"/>
      <charset val="178"/>
    </font>
    <font>
      <sz val="14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1"/>
      <color theme="0"/>
      <name val="B Nazanin"/>
      <charset val="178"/>
    </font>
    <font>
      <b/>
      <sz val="18"/>
      <name val="Vazir FD"/>
      <family val="2"/>
    </font>
    <font>
      <sz val="11"/>
      <name val="Vazir FD"/>
      <family val="2"/>
    </font>
    <font>
      <b/>
      <sz val="14"/>
      <name val="Vazir FD"/>
      <family val="2"/>
    </font>
    <font>
      <b/>
      <sz val="11"/>
      <name val="Vazir FD"/>
      <family val="2"/>
    </font>
    <font>
      <sz val="11"/>
      <color theme="1"/>
      <name val="Vazir FD"/>
      <family val="2"/>
    </font>
    <font>
      <b/>
      <sz val="12"/>
      <name val="Vazir FD"/>
      <family val="2"/>
    </font>
    <font>
      <b/>
      <sz val="10"/>
      <name val="Vazir FD"/>
      <family val="2"/>
    </font>
    <font>
      <sz val="9"/>
      <name val="Vazir FD"/>
      <family val="2"/>
    </font>
    <font>
      <sz val="16"/>
      <color theme="1"/>
      <name val="Vazir FD"/>
      <family val="2"/>
    </font>
    <font>
      <b/>
      <sz val="9"/>
      <name val="Vazir FD"/>
      <family val="2"/>
    </font>
    <font>
      <sz val="16"/>
      <name val="Vazir FD"/>
      <family val="2"/>
    </font>
    <font>
      <sz val="18"/>
      <name val="Vazir FD"/>
      <family val="2"/>
    </font>
    <font>
      <sz val="20"/>
      <name val="Vazir FD"/>
      <family val="2"/>
    </font>
    <font>
      <sz val="14"/>
      <name val="Vazir FD"/>
      <family val="2"/>
    </font>
    <font>
      <b/>
      <sz val="14"/>
      <color theme="0"/>
      <name val="Vazir FD"/>
      <family val="2"/>
    </font>
    <font>
      <sz val="12"/>
      <name val="Vazir FD"/>
      <family val="2"/>
    </font>
    <font>
      <sz val="12"/>
      <color theme="1"/>
      <name val="Vazir FD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29">
    <xf numFmtId="0" fontId="0" fillId="0" borderId="0" xfId="0"/>
    <xf numFmtId="168" fontId="2" fillId="0" borderId="0" xfId="1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65" fontId="0" fillId="4" borderId="20" xfId="1" applyNumberFormat="1" applyFont="1" applyFill="1" applyBorder="1" applyAlignment="1">
      <alignment horizontal="center" vertical="center"/>
    </xf>
    <xf numFmtId="165" fontId="0" fillId="4" borderId="12" xfId="1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8" fillId="4" borderId="0" xfId="0" applyFont="1" applyFill="1"/>
    <xf numFmtId="0" fontId="8" fillId="0" borderId="0" xfId="0" applyFont="1"/>
    <xf numFmtId="168" fontId="2" fillId="4" borderId="0" xfId="1" applyNumberFormat="1" applyFont="1" applyFill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65" fontId="4" fillId="3" borderId="13" xfId="1" applyNumberFormat="1" applyFont="1" applyFill="1" applyBorder="1" applyAlignment="1">
      <alignment horizontal="center" vertical="center"/>
    </xf>
    <xf numFmtId="167" fontId="8" fillId="4" borderId="0" xfId="0" applyNumberFormat="1" applyFont="1" applyFill="1"/>
    <xf numFmtId="0" fontId="6" fillId="7" borderId="16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165" fontId="4" fillId="7" borderId="15" xfId="1" applyNumberFormat="1" applyFont="1" applyFill="1" applyBorder="1" applyAlignment="1">
      <alignment horizontal="center" vertical="center"/>
    </xf>
    <xf numFmtId="165" fontId="8" fillId="4" borderId="0" xfId="0" applyNumberFormat="1" applyFont="1" applyFill="1"/>
    <xf numFmtId="3" fontId="9" fillId="4" borderId="8" xfId="0" applyNumberFormat="1" applyFont="1" applyFill="1" applyBorder="1" applyAlignment="1">
      <alignment horizontal="center" vertical="center"/>
    </xf>
    <xf numFmtId="9" fontId="0" fillId="4" borderId="0" xfId="4" applyFont="1" applyFill="1" applyAlignment="1">
      <alignment horizontal="center" vertical="center"/>
    </xf>
    <xf numFmtId="165" fontId="9" fillId="4" borderId="8" xfId="1" applyNumberFormat="1" applyFont="1" applyFill="1" applyBorder="1" applyAlignment="1">
      <alignment horizontal="center" vertical="center"/>
    </xf>
    <xf numFmtId="3" fontId="9" fillId="4" borderId="19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165" fontId="11" fillId="4" borderId="0" xfId="0" applyNumberFormat="1" applyFont="1" applyFill="1"/>
    <xf numFmtId="0" fontId="6" fillId="4" borderId="8" xfId="0" applyFont="1" applyFill="1" applyBorder="1" applyAlignment="1">
      <alignment horizontal="center" vertical="center"/>
    </xf>
    <xf numFmtId="165" fontId="4" fillId="4" borderId="8" xfId="1" applyNumberFormat="1" applyFont="1" applyFill="1" applyBorder="1" applyAlignment="1">
      <alignment horizontal="center" vertical="center"/>
    </xf>
    <xf numFmtId="0" fontId="12" fillId="4" borderId="0" xfId="0" applyFont="1" applyFill="1"/>
    <xf numFmtId="165" fontId="12" fillId="4" borderId="0" xfId="1" applyNumberFormat="1" applyFont="1" applyFill="1" applyBorder="1"/>
    <xf numFmtId="0" fontId="14" fillId="4" borderId="0" xfId="0" applyFont="1" applyFill="1" applyAlignment="1">
      <alignment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7" fillId="4" borderId="0" xfId="0" applyFont="1" applyFill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165" fontId="18" fillId="0" borderId="5" xfId="1" applyNumberFormat="1" applyFont="1" applyFill="1" applyBorder="1" applyAlignment="1">
      <alignment vertical="center" wrapText="1"/>
    </xf>
    <xf numFmtId="165" fontId="18" fillId="8" borderId="5" xfId="1" applyNumberFormat="1" applyFont="1" applyFill="1" applyBorder="1" applyAlignment="1">
      <alignment vertical="center" wrapText="1"/>
    </xf>
    <xf numFmtId="165" fontId="18" fillId="9" borderId="5" xfId="1" applyNumberFormat="1" applyFont="1" applyFill="1" applyBorder="1" applyAlignment="1">
      <alignment vertical="center" wrapText="1"/>
    </xf>
    <xf numFmtId="165" fontId="13" fillId="4" borderId="0" xfId="0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167" fontId="19" fillId="4" borderId="0" xfId="0" applyNumberFormat="1" applyFont="1" applyFill="1" applyAlignment="1">
      <alignment horizontal="center" vertical="center" wrapText="1"/>
    </xf>
    <xf numFmtId="165" fontId="18" fillId="0" borderId="5" xfId="1" applyNumberFormat="1" applyFont="1" applyFill="1" applyBorder="1" applyAlignment="1">
      <alignment horizontal="center" vertical="center" wrapText="1"/>
    </xf>
    <xf numFmtId="165" fontId="18" fillId="8" borderId="5" xfId="1" applyNumberFormat="1" applyFont="1" applyFill="1" applyBorder="1" applyAlignment="1">
      <alignment horizontal="center" vertical="center" wrapText="1"/>
    </xf>
    <xf numFmtId="165" fontId="18" fillId="9" borderId="5" xfId="1" applyNumberFormat="1" applyFont="1" applyFill="1" applyBorder="1" applyAlignment="1">
      <alignment horizontal="center" vertical="center" wrapText="1"/>
    </xf>
    <xf numFmtId="165" fontId="17" fillId="4" borderId="0" xfId="0" applyNumberFormat="1" applyFont="1" applyFill="1" applyAlignment="1">
      <alignment vertical="center"/>
    </xf>
    <xf numFmtId="0" fontId="15" fillId="0" borderId="2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165" fontId="18" fillId="0" borderId="29" xfId="1" applyNumberFormat="1" applyFont="1" applyFill="1" applyBorder="1" applyAlignment="1">
      <alignment horizontal="center" vertical="center" wrapText="1"/>
    </xf>
    <xf numFmtId="165" fontId="18" fillId="4" borderId="0" xfId="1" applyNumberFormat="1" applyFont="1" applyFill="1" applyBorder="1" applyAlignment="1">
      <alignment horizontal="center" vertical="center" wrapText="1"/>
    </xf>
    <xf numFmtId="165" fontId="18" fillId="0" borderId="0" xfId="1" applyNumberFormat="1" applyFont="1" applyFill="1" applyBorder="1" applyAlignment="1">
      <alignment horizontal="center" vertical="center" wrapText="1"/>
    </xf>
    <xf numFmtId="169" fontId="20" fillId="4" borderId="0" xfId="0" applyNumberFormat="1" applyFont="1" applyFill="1" applyAlignment="1">
      <alignment horizontal="center" vertical="center" wrapText="1"/>
    </xf>
    <xf numFmtId="9" fontId="15" fillId="0" borderId="10" xfId="0" applyNumberFormat="1" applyFont="1" applyBorder="1" applyAlignment="1">
      <alignment horizontal="center" vertical="center"/>
    </xf>
    <xf numFmtId="9" fontId="15" fillId="4" borderId="8" xfId="4" applyFont="1" applyFill="1" applyBorder="1" applyAlignment="1">
      <alignment horizontal="center" vertical="center"/>
    </xf>
    <xf numFmtId="173" fontId="15" fillId="0" borderId="8" xfId="4" applyNumberFormat="1" applyFont="1" applyFill="1" applyBorder="1" applyAlignment="1">
      <alignment horizontal="center" vertical="center"/>
    </xf>
    <xf numFmtId="173" fontId="15" fillId="8" borderId="8" xfId="4" applyNumberFormat="1" applyFont="1" applyFill="1" applyBorder="1" applyAlignment="1">
      <alignment horizontal="center" vertical="center"/>
    </xf>
    <xf numFmtId="173" fontId="15" fillId="9" borderId="8" xfId="4" applyNumberFormat="1" applyFont="1" applyFill="1" applyBorder="1" applyAlignment="1">
      <alignment horizontal="center" vertical="center"/>
    </xf>
    <xf numFmtId="9" fontId="15" fillId="0" borderId="8" xfId="0" applyNumberFormat="1" applyFont="1" applyBorder="1" applyAlignment="1">
      <alignment horizontal="center" vertical="center"/>
    </xf>
    <xf numFmtId="10" fontId="15" fillId="0" borderId="8" xfId="4" applyNumberFormat="1" applyFont="1" applyFill="1" applyBorder="1" applyAlignment="1">
      <alignment horizontal="center" vertical="center"/>
    </xf>
    <xf numFmtId="10" fontId="15" fillId="8" borderId="8" xfId="4" applyNumberFormat="1" applyFont="1" applyFill="1" applyBorder="1" applyAlignment="1">
      <alignment horizontal="center" vertical="center"/>
    </xf>
    <xf numFmtId="9" fontId="15" fillId="0" borderId="8" xfId="4" applyFont="1" applyFill="1" applyBorder="1" applyAlignment="1">
      <alignment horizontal="center" vertical="center"/>
    </xf>
    <xf numFmtId="9" fontId="15" fillId="8" borderId="8" xfId="4" applyFont="1" applyFill="1" applyBorder="1" applyAlignment="1">
      <alignment horizontal="center" vertical="center"/>
    </xf>
    <xf numFmtId="9" fontId="15" fillId="9" borderId="8" xfId="4" applyFont="1" applyFill="1" applyBorder="1" applyAlignment="1">
      <alignment horizontal="center" vertical="center"/>
    </xf>
    <xf numFmtId="9" fontId="15" fillId="0" borderId="8" xfId="0" applyNumberFormat="1" applyFont="1" applyBorder="1" applyAlignment="1">
      <alignment horizontal="center" vertical="center" wrapText="1"/>
    </xf>
    <xf numFmtId="9" fontId="15" fillId="0" borderId="0" xfId="0" applyNumberFormat="1" applyFont="1" applyAlignment="1">
      <alignment horizontal="center" vertical="center"/>
    </xf>
    <xf numFmtId="9" fontId="15" fillId="4" borderId="0" xfId="4" applyFont="1" applyFill="1" applyBorder="1" applyAlignment="1">
      <alignment horizontal="center" vertical="center"/>
    </xf>
    <xf numFmtId="9" fontId="15" fillId="0" borderId="0" xfId="4" applyFont="1" applyFill="1" applyBorder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18" fillId="4" borderId="0" xfId="0" applyFont="1" applyFill="1" applyAlignment="1">
      <alignment horizontal="right" vertical="center" wrapText="1"/>
    </xf>
    <xf numFmtId="167" fontId="20" fillId="4" borderId="0" xfId="0" applyNumberFormat="1" applyFont="1" applyFill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22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vertical="center" wrapText="1"/>
    </xf>
    <xf numFmtId="9" fontId="15" fillId="4" borderId="14" xfId="4" applyFont="1" applyFill="1" applyBorder="1" applyAlignment="1">
      <alignment horizontal="center" vertical="center"/>
    </xf>
    <xf numFmtId="165" fontId="18" fillId="0" borderId="14" xfId="1" applyNumberFormat="1" applyFont="1" applyFill="1" applyBorder="1" applyAlignment="1">
      <alignment horizontal="center" vertical="center" wrapText="1"/>
    </xf>
    <xf numFmtId="165" fontId="18" fillId="8" borderId="14" xfId="1" applyNumberFormat="1" applyFont="1" applyFill="1" applyBorder="1" applyAlignment="1">
      <alignment horizontal="center" vertical="center" wrapText="1"/>
    </xf>
    <xf numFmtId="165" fontId="18" fillId="0" borderId="8" xfId="1" applyNumberFormat="1" applyFont="1" applyFill="1" applyBorder="1" applyAlignment="1">
      <alignment horizontal="center" vertical="center" wrapText="1"/>
    </xf>
    <xf numFmtId="165" fontId="18" fillId="8" borderId="8" xfId="1" applyNumberFormat="1" applyFont="1" applyFill="1" applyBorder="1" applyAlignment="1">
      <alignment horizontal="center" vertical="center" wrapText="1"/>
    </xf>
    <xf numFmtId="165" fontId="18" fillId="9" borderId="8" xfId="1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9" fontId="14" fillId="4" borderId="0" xfId="0" applyNumberFormat="1" applyFont="1" applyFill="1" applyAlignment="1">
      <alignment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65" fontId="18" fillId="9" borderId="30" xfId="1" applyNumberFormat="1" applyFont="1" applyFill="1" applyBorder="1" applyAlignment="1">
      <alignment horizontal="center" vertical="center" wrapText="1"/>
    </xf>
    <xf numFmtId="165" fontId="18" fillId="9" borderId="9" xfId="1" applyNumberFormat="1" applyFont="1" applyFill="1" applyBorder="1" applyAlignment="1">
      <alignment horizontal="center" vertical="center" wrapText="1"/>
    </xf>
    <xf numFmtId="164" fontId="18" fillId="0" borderId="5" xfId="1" applyFont="1" applyFill="1" applyBorder="1" applyAlignment="1">
      <alignment horizontal="center" vertical="center" wrapText="1"/>
    </xf>
    <xf numFmtId="164" fontId="18" fillId="8" borderId="5" xfId="1" applyFont="1" applyFill="1" applyBorder="1" applyAlignment="1">
      <alignment horizontal="center" vertical="center" wrapText="1"/>
    </xf>
    <xf numFmtId="164" fontId="18" fillId="9" borderId="5" xfId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5" fillId="8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shrinkToFit="1"/>
    </xf>
    <xf numFmtId="0" fontId="22" fillId="4" borderId="8" xfId="0" applyFont="1" applyFill="1" applyBorder="1" applyAlignment="1">
      <alignment horizontal="center" vertical="center" wrapText="1" shrinkToFit="1"/>
    </xf>
    <xf numFmtId="38" fontId="19" fillId="0" borderId="8" xfId="1" applyNumberFormat="1" applyFont="1" applyFill="1" applyBorder="1" applyAlignment="1">
      <alignment horizontal="center" vertical="center" wrapText="1" shrinkToFit="1"/>
    </xf>
    <xf numFmtId="166" fontId="19" fillId="8" borderId="8" xfId="0" applyNumberFormat="1" applyFont="1" applyFill="1" applyBorder="1" applyAlignment="1">
      <alignment horizontal="center" vertical="center" wrapText="1" shrinkToFit="1"/>
    </xf>
    <xf numFmtId="166" fontId="19" fillId="9" borderId="8" xfId="0" applyNumberFormat="1" applyFont="1" applyFill="1" applyBorder="1" applyAlignment="1">
      <alignment horizontal="center" vertical="center" wrapText="1" shrinkToFit="1"/>
    </xf>
    <xf numFmtId="38" fontId="19" fillId="8" borderId="8" xfId="0" applyNumberFormat="1" applyFont="1" applyFill="1" applyBorder="1" applyAlignment="1">
      <alignment horizontal="center" vertical="center" wrapText="1" shrinkToFit="1"/>
    </xf>
    <xf numFmtId="38" fontId="16" fillId="0" borderId="8" xfId="1" applyNumberFormat="1" applyFont="1" applyFill="1" applyBorder="1" applyAlignment="1">
      <alignment horizontal="center" vertical="center" wrapText="1" shrinkToFit="1"/>
    </xf>
    <xf numFmtId="166" fontId="16" fillId="8" borderId="8" xfId="0" applyNumberFormat="1" applyFont="1" applyFill="1" applyBorder="1" applyAlignment="1">
      <alignment horizontal="center" vertical="center" wrapText="1" shrinkToFit="1"/>
    </xf>
    <xf numFmtId="166" fontId="16" fillId="9" borderId="8" xfId="0" applyNumberFormat="1" applyFont="1" applyFill="1" applyBorder="1" applyAlignment="1">
      <alignment horizontal="center" vertical="center" wrapText="1" shrinkToFit="1"/>
    </xf>
    <xf numFmtId="167" fontId="14" fillId="4" borderId="0" xfId="0" applyNumberFormat="1" applyFont="1" applyFill="1" applyAlignment="1">
      <alignment vertical="center"/>
    </xf>
    <xf numFmtId="0" fontId="18" fillId="4" borderId="0" xfId="0" applyFont="1" applyFill="1" applyAlignment="1">
      <alignment vertical="center"/>
    </xf>
    <xf numFmtId="43" fontId="14" fillId="4" borderId="0" xfId="0" applyNumberFormat="1" applyFont="1" applyFill="1" applyAlignment="1">
      <alignment vertical="center"/>
    </xf>
    <xf numFmtId="165" fontId="14" fillId="4" borderId="0" xfId="1" applyNumberFormat="1" applyFont="1" applyFill="1" applyAlignment="1">
      <alignment vertical="center"/>
    </xf>
    <xf numFmtId="2" fontId="19" fillId="4" borderId="8" xfId="4" applyNumberFormat="1" applyFont="1" applyFill="1" applyBorder="1" applyAlignment="1">
      <alignment horizontal="center" vertical="center" wrapText="1"/>
    </xf>
    <xf numFmtId="2" fontId="19" fillId="8" borderId="8" xfId="4" applyNumberFormat="1" applyFont="1" applyFill="1" applyBorder="1" applyAlignment="1">
      <alignment horizontal="center" vertical="center" wrapText="1"/>
    </xf>
    <xf numFmtId="2" fontId="19" fillId="9" borderId="8" xfId="4" applyNumberFormat="1" applyFont="1" applyFill="1" applyBorder="1" applyAlignment="1">
      <alignment horizontal="center" vertical="center" wrapText="1"/>
    </xf>
    <xf numFmtId="174" fontId="19" fillId="4" borderId="8" xfId="4" applyNumberFormat="1" applyFont="1" applyFill="1" applyBorder="1" applyAlignment="1">
      <alignment horizontal="center" vertical="center" wrapText="1"/>
    </xf>
    <xf numFmtId="174" fontId="19" fillId="8" borderId="8" xfId="4" applyNumberFormat="1" applyFont="1" applyFill="1" applyBorder="1" applyAlignment="1">
      <alignment horizontal="center" vertical="center" wrapText="1"/>
    </xf>
    <xf numFmtId="175" fontId="14" fillId="4" borderId="0" xfId="0" applyNumberFormat="1" applyFont="1" applyFill="1" applyAlignment="1">
      <alignment vertical="center"/>
    </xf>
    <xf numFmtId="166" fontId="19" fillId="4" borderId="8" xfId="0" applyNumberFormat="1" applyFont="1" applyFill="1" applyBorder="1" applyAlignment="1">
      <alignment vertical="center" wrapText="1" shrinkToFit="1"/>
    </xf>
    <xf numFmtId="166" fontId="19" fillId="8" borderId="8" xfId="0" applyNumberFormat="1" applyFont="1" applyFill="1" applyBorder="1" applyAlignment="1">
      <alignment vertical="center" wrapText="1" shrinkToFit="1"/>
    </xf>
    <xf numFmtId="166" fontId="19" fillId="9" borderId="8" xfId="0" applyNumberFormat="1" applyFont="1" applyFill="1" applyBorder="1" applyAlignment="1">
      <alignment vertical="center" wrapText="1" shrinkToFit="1"/>
    </xf>
    <xf numFmtId="0" fontId="18" fillId="4" borderId="0" xfId="0" applyFont="1" applyFill="1" applyAlignment="1">
      <alignment horizontal="center" vertical="center" shrinkToFit="1"/>
    </xf>
    <xf numFmtId="0" fontId="22" fillId="4" borderId="0" xfId="0" applyFont="1" applyFill="1" applyAlignment="1">
      <alignment horizontal="center" vertical="center" wrapText="1" shrinkToFit="1"/>
    </xf>
    <xf numFmtId="166" fontId="19" fillId="4" borderId="0" xfId="0" applyNumberFormat="1" applyFont="1" applyFill="1" applyAlignment="1">
      <alignment vertical="center" wrapText="1" shrinkToFit="1"/>
    </xf>
    <xf numFmtId="166" fontId="22" fillId="4" borderId="0" xfId="0" applyNumberFormat="1" applyFont="1" applyFill="1" applyAlignment="1">
      <alignment vertical="center" wrapText="1" shrinkToFit="1"/>
    </xf>
    <xf numFmtId="1" fontId="19" fillId="4" borderId="8" xfId="4" applyNumberFormat="1" applyFont="1" applyFill="1" applyBorder="1" applyAlignment="1">
      <alignment horizontal="center" vertical="center" wrapText="1"/>
    </xf>
    <xf numFmtId="1" fontId="19" fillId="8" borderId="8" xfId="4" applyNumberFormat="1" applyFont="1" applyFill="1" applyBorder="1" applyAlignment="1">
      <alignment horizontal="center" vertical="center" wrapText="1"/>
    </xf>
    <xf numFmtId="1" fontId="19" fillId="9" borderId="8" xfId="4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8" fillId="4" borderId="8" xfId="0" applyFont="1" applyFill="1" applyBorder="1" applyAlignment="1">
      <alignment vertical="center" shrinkToFit="1"/>
    </xf>
    <xf numFmtId="0" fontId="22" fillId="4" borderId="8" xfId="0" applyFont="1" applyFill="1" applyBorder="1" applyAlignment="1">
      <alignment horizontal="right" vertical="center" wrapText="1" shrinkToFit="1"/>
    </xf>
    <xf numFmtId="165" fontId="19" fillId="4" borderId="8" xfId="1" applyNumberFormat="1" applyFont="1" applyFill="1" applyBorder="1" applyAlignment="1">
      <alignment horizontal="center" vertical="center" wrapText="1" shrinkToFit="1"/>
    </xf>
    <xf numFmtId="165" fontId="19" fillId="8" borderId="8" xfId="1" applyNumberFormat="1" applyFont="1" applyFill="1" applyBorder="1" applyAlignment="1">
      <alignment horizontal="center" vertical="center" wrapText="1" shrinkToFit="1"/>
    </xf>
    <xf numFmtId="165" fontId="19" fillId="9" borderId="8" xfId="1" applyNumberFormat="1" applyFont="1" applyFill="1" applyBorder="1" applyAlignment="1">
      <alignment horizontal="center" vertical="center" wrapText="1" shrinkToFit="1"/>
    </xf>
    <xf numFmtId="0" fontId="18" fillId="4" borderId="8" xfId="0" applyFont="1" applyFill="1" applyBorder="1" applyAlignment="1">
      <alignment horizontal="right" vertical="center"/>
    </xf>
    <xf numFmtId="165" fontId="16" fillId="4" borderId="8" xfId="1" applyNumberFormat="1" applyFont="1" applyFill="1" applyBorder="1" applyAlignment="1">
      <alignment horizontal="right" vertical="center"/>
    </xf>
    <xf numFmtId="165" fontId="19" fillId="4" borderId="8" xfId="1" applyNumberFormat="1" applyFont="1" applyFill="1" applyBorder="1" applyAlignment="1">
      <alignment horizontal="right" vertical="center"/>
    </xf>
    <xf numFmtId="165" fontId="16" fillId="8" borderId="8" xfId="1" applyNumberFormat="1" applyFont="1" applyFill="1" applyBorder="1" applyAlignment="1">
      <alignment horizontal="right" vertical="center"/>
    </xf>
    <xf numFmtId="165" fontId="16" fillId="9" borderId="8" xfId="1" applyNumberFormat="1" applyFont="1" applyFill="1" applyBorder="1" applyAlignment="1">
      <alignment horizontal="right" vertical="center"/>
    </xf>
    <xf numFmtId="0" fontId="18" fillId="4" borderId="0" xfId="0" applyFont="1" applyFill="1" applyAlignment="1">
      <alignment horizontal="right" vertical="center"/>
    </xf>
    <xf numFmtId="0" fontId="22" fillId="4" borderId="0" xfId="0" applyFont="1" applyFill="1" applyAlignment="1">
      <alignment horizontal="right" vertical="center" wrapText="1" shrinkToFit="1"/>
    </xf>
    <xf numFmtId="165" fontId="16" fillId="4" borderId="0" xfId="1" applyNumberFormat="1" applyFont="1" applyFill="1" applyBorder="1" applyAlignment="1">
      <alignment horizontal="right" vertical="center"/>
    </xf>
    <xf numFmtId="165" fontId="19" fillId="4" borderId="0" xfId="1" applyNumberFormat="1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right" vertical="center" shrinkToFit="1"/>
    </xf>
    <xf numFmtId="38" fontId="19" fillId="0" borderId="8" xfId="1" applyNumberFormat="1" applyFont="1" applyFill="1" applyBorder="1" applyAlignment="1">
      <alignment horizontal="center" vertical="center" shrinkToFit="1"/>
    </xf>
    <xf numFmtId="38" fontId="19" fillId="8" borderId="8" xfId="1" applyNumberFormat="1" applyFont="1" applyFill="1" applyBorder="1" applyAlignment="1">
      <alignment horizontal="center" vertical="center" shrinkToFit="1"/>
    </xf>
    <xf numFmtId="38" fontId="19" fillId="9" borderId="8" xfId="1" applyNumberFormat="1" applyFont="1" applyFill="1" applyBorder="1" applyAlignment="1">
      <alignment horizontal="center" vertical="center" shrinkToFit="1"/>
    </xf>
    <xf numFmtId="3" fontId="14" fillId="4" borderId="0" xfId="0" applyNumberFormat="1" applyFont="1" applyFill="1" applyAlignment="1">
      <alignment vertical="center"/>
    </xf>
    <xf numFmtId="0" fontId="22" fillId="4" borderId="8" xfId="0" applyFont="1" applyFill="1" applyBorder="1" applyAlignment="1">
      <alignment horizontal="center" wrapText="1" shrinkToFit="1"/>
    </xf>
    <xf numFmtId="166" fontId="19" fillId="4" borderId="8" xfId="0" applyNumberFormat="1" applyFont="1" applyFill="1" applyBorder="1" applyAlignment="1">
      <alignment wrapText="1" shrinkToFit="1"/>
    </xf>
    <xf numFmtId="166" fontId="19" fillId="8" borderId="8" xfId="0" applyNumberFormat="1" applyFont="1" applyFill="1" applyBorder="1" applyAlignment="1">
      <alignment wrapText="1" shrinkToFit="1"/>
    </xf>
    <xf numFmtId="168" fontId="27" fillId="5" borderId="8" xfId="1" applyNumberFormat="1" applyFont="1" applyFill="1" applyBorder="1" applyAlignment="1">
      <alignment horizontal="center" vertical="center" wrapText="1" shrinkToFit="1"/>
    </xf>
    <xf numFmtId="168" fontId="28" fillId="4" borderId="0" xfId="1" applyNumberFormat="1" applyFont="1" applyFill="1" applyAlignment="1">
      <alignment horizontal="center" vertical="center" shrinkToFit="1"/>
    </xf>
    <xf numFmtId="168" fontId="28" fillId="0" borderId="0" xfId="1" applyNumberFormat="1" applyFont="1" applyAlignment="1">
      <alignment horizontal="center" vertical="center" shrinkToFit="1"/>
    </xf>
    <xf numFmtId="168" fontId="18" fillId="0" borderId="8" xfId="1" applyNumberFormat="1" applyFont="1" applyFill="1" applyBorder="1" applyAlignment="1">
      <alignment horizontal="center" vertical="center" wrapText="1" shrinkToFit="1"/>
    </xf>
    <xf numFmtId="38" fontId="18" fillId="0" borderId="8" xfId="1" applyNumberFormat="1" applyFont="1" applyFill="1" applyBorder="1" applyAlignment="1">
      <alignment horizontal="center" vertical="center" wrapText="1" shrinkToFit="1"/>
    </xf>
    <xf numFmtId="9" fontId="28" fillId="4" borderId="0" xfId="4" applyFont="1" applyFill="1" applyAlignment="1">
      <alignment horizontal="center" vertical="center" shrinkToFit="1"/>
    </xf>
    <xf numFmtId="38" fontId="15" fillId="0" borderId="8" xfId="1" applyNumberFormat="1" applyFont="1" applyFill="1" applyBorder="1" applyAlignment="1">
      <alignment horizontal="center" vertical="center" shrinkToFit="1"/>
    </xf>
    <xf numFmtId="170" fontId="28" fillId="4" borderId="0" xfId="1" applyNumberFormat="1" applyFont="1" applyFill="1" applyAlignment="1">
      <alignment horizontal="center" vertical="center" shrinkToFit="1"/>
    </xf>
    <xf numFmtId="168" fontId="18" fillId="6" borderId="8" xfId="1" applyNumberFormat="1" applyFont="1" applyFill="1" applyBorder="1" applyAlignment="1">
      <alignment horizontal="center" vertical="center" wrapText="1" shrinkToFit="1"/>
    </xf>
    <xf numFmtId="38" fontId="15" fillId="6" borderId="8" xfId="1" applyNumberFormat="1" applyFont="1" applyFill="1" applyBorder="1" applyAlignment="1">
      <alignment horizontal="center" vertical="center" wrapText="1" shrinkToFit="1"/>
    </xf>
    <xf numFmtId="38" fontId="15" fillId="0" borderId="8" xfId="1" applyNumberFormat="1" applyFont="1" applyBorder="1" applyAlignment="1">
      <alignment horizontal="center" vertical="center" shrinkToFit="1"/>
    </xf>
    <xf numFmtId="38" fontId="18" fillId="0" borderId="8" xfId="1" applyNumberFormat="1" applyFont="1" applyBorder="1" applyAlignment="1">
      <alignment horizontal="center" vertical="center" shrinkToFit="1"/>
    </xf>
    <xf numFmtId="172" fontId="28" fillId="4" borderId="0" xfId="1" applyNumberFormat="1" applyFont="1" applyFill="1" applyAlignment="1">
      <alignment horizontal="center" vertical="center" shrinkToFit="1"/>
    </xf>
    <xf numFmtId="172" fontId="28" fillId="4" borderId="8" xfId="1" applyNumberFormat="1" applyFont="1" applyFill="1" applyBorder="1" applyAlignment="1">
      <alignment horizontal="center" vertical="center" shrinkToFit="1"/>
    </xf>
    <xf numFmtId="173" fontId="14" fillId="4" borderId="0" xfId="0" applyNumberFormat="1" applyFont="1" applyFill="1" applyAlignment="1">
      <alignment vertical="center"/>
    </xf>
    <xf numFmtId="176" fontId="14" fillId="4" borderId="0" xfId="0" applyNumberFormat="1" applyFont="1" applyFill="1" applyAlignment="1">
      <alignment vertical="center"/>
    </xf>
    <xf numFmtId="168" fontId="15" fillId="9" borderId="8" xfId="1" applyNumberFormat="1" applyFont="1" applyFill="1" applyBorder="1" applyAlignment="1">
      <alignment horizontal="center" vertical="center" wrapText="1" shrinkToFit="1"/>
    </xf>
    <xf numFmtId="174" fontId="19" fillId="9" borderId="8" xfId="4" applyNumberFormat="1" applyFont="1" applyFill="1" applyBorder="1" applyAlignment="1">
      <alignment horizontal="center" vertical="center" wrapText="1"/>
    </xf>
    <xf numFmtId="166" fontId="19" fillId="9" borderId="8" xfId="0" applyNumberFormat="1" applyFont="1" applyFill="1" applyBorder="1" applyAlignment="1">
      <alignment wrapText="1" shrinkToFit="1"/>
    </xf>
    <xf numFmtId="0" fontId="15" fillId="4" borderId="12" xfId="0" applyFont="1" applyFill="1" applyBorder="1" applyAlignment="1">
      <alignment horizontal="center" vertical="center"/>
    </xf>
    <xf numFmtId="177" fontId="17" fillId="4" borderId="0" xfId="4" applyNumberFormat="1" applyFont="1" applyFill="1" applyAlignment="1">
      <alignment vertical="center"/>
    </xf>
    <xf numFmtId="173" fontId="14" fillId="4" borderId="0" xfId="4" applyNumberFormat="1" applyFont="1" applyFill="1" applyAlignment="1">
      <alignment vertical="center"/>
    </xf>
    <xf numFmtId="165" fontId="14" fillId="4" borderId="0" xfId="0" applyNumberFormat="1" applyFont="1" applyFill="1" applyAlignment="1">
      <alignment vertical="center"/>
    </xf>
    <xf numFmtId="177" fontId="17" fillId="4" borderId="0" xfId="4" applyNumberFormat="1" applyFont="1" applyFill="1" applyBorder="1" applyAlignment="1">
      <alignment vertical="center"/>
    </xf>
    <xf numFmtId="165" fontId="18" fillId="9" borderId="14" xfId="1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right" vertical="center"/>
    </xf>
    <xf numFmtId="0" fontId="15" fillId="9" borderId="9" xfId="0" applyFont="1" applyFill="1" applyBorder="1" applyAlignment="1">
      <alignment horizontal="center" vertical="center"/>
    </xf>
    <xf numFmtId="165" fontId="19" fillId="9" borderId="9" xfId="1" applyNumberFormat="1" applyFont="1" applyFill="1" applyBorder="1" applyAlignment="1">
      <alignment horizontal="center" vertical="center" wrapText="1" shrinkToFit="1"/>
    </xf>
    <xf numFmtId="165" fontId="16" fillId="9" borderId="9" xfId="1" applyNumberFormat="1" applyFont="1" applyFill="1" applyBorder="1" applyAlignment="1">
      <alignment horizontal="right" vertical="center"/>
    </xf>
    <xf numFmtId="0" fontId="29" fillId="4" borderId="0" xfId="0" applyFont="1" applyFill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7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4" borderId="0" xfId="0" applyFont="1" applyFill="1" applyAlignment="1">
      <alignment horizontal="right" vertical="center" wrapText="1"/>
    </xf>
    <xf numFmtId="0" fontId="15" fillId="2" borderId="8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32" xfId="0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26" fillId="4" borderId="8" xfId="0" applyFont="1" applyFill="1" applyBorder="1" applyAlignment="1">
      <alignment horizontal="center" vertical="center" wrapText="1"/>
    </xf>
    <xf numFmtId="171" fontId="14" fillId="4" borderId="28" xfId="0" applyNumberFormat="1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right" vertical="center"/>
    </xf>
    <xf numFmtId="0" fontId="14" fillId="4" borderId="32" xfId="0" applyFont="1" applyFill="1" applyBorder="1" applyAlignment="1">
      <alignment horizontal="right" vertical="center"/>
    </xf>
    <xf numFmtId="0" fontId="14" fillId="4" borderId="19" xfId="0" applyFont="1" applyFill="1" applyBorder="1" applyAlignment="1">
      <alignment horizontal="right" vertical="center"/>
    </xf>
    <xf numFmtId="168" fontId="28" fillId="4" borderId="8" xfId="1" applyNumberFormat="1" applyFont="1" applyFill="1" applyBorder="1" applyAlignment="1">
      <alignment horizontal="center" vertical="center" shrinkToFit="1"/>
    </xf>
    <xf numFmtId="43" fontId="8" fillId="4" borderId="0" xfId="0" applyNumberFormat="1" applyFont="1" applyFill="1"/>
  </cellXfs>
  <cellStyles count="5">
    <cellStyle name="Comma" xfId="1" builtinId="3"/>
    <cellStyle name="Comma 2 2" xfId="2" xr:uid="{00000000-0005-0000-0000-000001000000}"/>
    <cellStyle name="Normal" xfId="0" builtinId="0"/>
    <cellStyle name="Normal 2 2" xfId="3" xr:uid="{00000000-0005-0000-0000-000003000000}"/>
    <cellStyle name="Percent" xfId="4" builtinId="5"/>
  </cellStyles>
  <dxfs count="0"/>
  <tableStyles count="0" defaultTableStyle="TableStyleMedium2" defaultPivotStyle="PivotStyleLight16"/>
  <colors>
    <mruColors>
      <color rgb="FF99FF99"/>
      <color rgb="FF00FF00"/>
      <color rgb="FF00CCFF"/>
      <color rgb="FF9966FF"/>
      <color rgb="FFFF33CC"/>
      <color rgb="FF669900"/>
      <color rgb="FF99FF66"/>
      <color rgb="FF0000FF"/>
      <color rgb="FFE8E43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8"/>
  <sheetViews>
    <sheetView rightToLeft="1" zoomScale="85" zoomScaleNormal="85" workbookViewId="0">
      <selection activeCell="D4" sqref="D4"/>
    </sheetView>
  </sheetViews>
  <sheetFormatPr defaultColWidth="9.140625" defaultRowHeight="15"/>
  <cols>
    <col min="1" max="1" width="9.140625" style="2"/>
    <col min="2" max="2" width="20.42578125" style="2" customWidth="1"/>
    <col min="3" max="3" width="7.85546875" style="2" customWidth="1"/>
    <col min="4" max="4" width="21.7109375" style="2" bestFit="1" customWidth="1"/>
    <col min="5" max="5" width="20.28515625" style="2" customWidth="1"/>
    <col min="6" max="6" width="7" style="2" customWidth="1"/>
    <col min="7" max="7" width="10" style="2" customWidth="1"/>
    <col min="8" max="8" width="13.85546875" style="2" bestFit="1" customWidth="1"/>
    <col min="9" max="9" width="16.42578125" style="2" bestFit="1" customWidth="1"/>
    <col min="10" max="10" width="28.42578125" style="2" bestFit="1" customWidth="1"/>
    <col min="11" max="15" width="16.7109375" style="2" bestFit="1" customWidth="1"/>
    <col min="16" max="17" width="19.85546875" style="2" bestFit="1" customWidth="1"/>
    <col min="18" max="18" width="21.28515625" style="2" bestFit="1" customWidth="1"/>
    <col min="19" max="21" width="10.5703125" style="2" customWidth="1"/>
    <col min="22" max="23" width="8.7109375" style="2" customWidth="1"/>
    <col min="24" max="24" width="12.7109375" style="2" bestFit="1" customWidth="1"/>
    <col min="25" max="33" width="8.7109375" style="2" customWidth="1"/>
    <col min="34" max="16384" width="9.140625" style="2"/>
  </cols>
  <sheetData>
    <row r="1" spans="1:23" ht="33" customHeight="1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33" customHeight="1" thickBot="1">
      <c r="A2" s="4"/>
      <c r="B2" s="5" t="s">
        <v>0</v>
      </c>
      <c r="C2" s="6" t="s">
        <v>23</v>
      </c>
      <c r="D2" s="7">
        <v>1403</v>
      </c>
      <c r="E2" s="4"/>
      <c r="F2" s="4"/>
      <c r="G2" s="4"/>
      <c r="H2" s="4"/>
      <c r="I2" s="186" t="s">
        <v>104</v>
      </c>
      <c r="J2" s="186" t="s">
        <v>54</v>
      </c>
      <c r="K2" s="186"/>
      <c r="L2" s="186"/>
      <c r="M2" s="186"/>
      <c r="N2" s="186"/>
      <c r="O2" s="186"/>
      <c r="P2" s="186"/>
      <c r="Q2" s="186"/>
      <c r="R2" s="186"/>
      <c r="S2" s="4"/>
      <c r="T2" s="4"/>
      <c r="U2" s="4"/>
      <c r="V2" s="4"/>
      <c r="W2" s="4"/>
    </row>
    <row r="3" spans="1:23" ht="33" customHeight="1" thickBot="1">
      <c r="A3" s="4"/>
      <c r="B3" s="17" t="s">
        <v>22</v>
      </c>
      <c r="C3" s="18" t="s">
        <v>25</v>
      </c>
      <c r="D3" s="19">
        <f>درآمد!J26*2</f>
        <v>742460</v>
      </c>
      <c r="E3" s="26"/>
      <c r="F3" s="4"/>
      <c r="G3" s="4"/>
      <c r="H3" s="4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4"/>
      <c r="T3" s="4"/>
      <c r="U3" s="4"/>
      <c r="V3" s="4"/>
      <c r="W3" s="4"/>
    </row>
    <row r="4" spans="1:23" ht="33" customHeight="1" thickBot="1">
      <c r="A4" s="4"/>
      <c r="B4" s="21" t="s">
        <v>82</v>
      </c>
      <c r="C4" s="22" t="s">
        <v>29</v>
      </c>
      <c r="D4" s="23">
        <v>650000</v>
      </c>
      <c r="E4" s="4"/>
      <c r="F4" s="4"/>
      <c r="G4" s="4"/>
      <c r="H4" s="4"/>
      <c r="I4" s="186"/>
      <c r="J4" s="30">
        <f>D11</f>
        <v>61183809.703091085</v>
      </c>
      <c r="K4" s="28">
        <v>550000</v>
      </c>
      <c r="L4" s="28">
        <v>580000</v>
      </c>
      <c r="M4" s="28">
        <v>610000</v>
      </c>
      <c r="N4" s="28">
        <v>640000</v>
      </c>
      <c r="O4" s="28">
        <v>670000</v>
      </c>
      <c r="P4" s="28">
        <v>700000</v>
      </c>
      <c r="Q4" s="28">
        <v>730000</v>
      </c>
      <c r="R4" s="28">
        <v>760000</v>
      </c>
      <c r="S4" s="187"/>
      <c r="T4" s="4"/>
      <c r="U4" s="4"/>
      <c r="V4" s="4"/>
      <c r="W4" s="4"/>
    </row>
    <row r="5" spans="1:23" ht="33" customHeight="1" thickBot="1">
      <c r="A5" s="4"/>
      <c r="B5" s="21" t="s">
        <v>94</v>
      </c>
      <c r="C5" s="22" t="s">
        <v>29</v>
      </c>
      <c r="D5" s="23">
        <f>درآمد!L118</f>
        <v>399685817.69355452</v>
      </c>
      <c r="E5" s="26"/>
      <c r="F5" s="4"/>
      <c r="G5" s="4"/>
      <c r="H5" s="4"/>
      <c r="I5" s="186"/>
      <c r="J5" s="29">
        <v>780</v>
      </c>
      <c r="K5" s="25">
        <f t="dataTable" ref="K5:R10" dt2D="1" dtr="1" r1="D4" r2="D6"/>
        <v>43444080.089145571</v>
      </c>
      <c r="L5" s="25">
        <v>45216525.966302574</v>
      </c>
      <c r="M5" s="25">
        <v>46988971.843459599</v>
      </c>
      <c r="N5" s="25">
        <v>48761417.720616542</v>
      </c>
      <c r="O5" s="25">
        <v>50533863.597773522</v>
      </c>
      <c r="P5" s="25">
        <v>52306309.474930637</v>
      </c>
      <c r="Q5" s="25">
        <v>54078755.352087572</v>
      </c>
      <c r="R5" s="27">
        <v>55851201.229244515</v>
      </c>
      <c r="S5" s="187"/>
      <c r="T5" s="4"/>
      <c r="U5" s="4"/>
      <c r="V5" s="4"/>
      <c r="W5" s="4"/>
    </row>
    <row r="6" spans="1:23" ht="33" customHeight="1" thickBot="1">
      <c r="A6" s="4"/>
      <c r="B6" s="21" t="s">
        <v>94</v>
      </c>
      <c r="C6" s="22" t="s">
        <v>54</v>
      </c>
      <c r="D6" s="23">
        <v>840</v>
      </c>
      <c r="E6" s="4" t="s">
        <v>72</v>
      </c>
      <c r="F6" s="4"/>
      <c r="G6" s="4"/>
      <c r="H6" s="4"/>
      <c r="I6" s="186"/>
      <c r="J6" s="29">
        <v>800</v>
      </c>
      <c r="K6" s="25">
        <v>46781191.463273205</v>
      </c>
      <c r="L6" s="25">
        <v>48735661.597200766</v>
      </c>
      <c r="M6" s="25">
        <v>50690131.73112841</v>
      </c>
      <c r="N6" s="25">
        <v>52644601.865055978</v>
      </c>
      <c r="O6" s="25">
        <v>54599071.998983569</v>
      </c>
      <c r="P6" s="25">
        <v>56553542.13291119</v>
      </c>
      <c r="Q6" s="25">
        <v>58508012.266838752</v>
      </c>
      <c r="R6" s="27">
        <v>60462482.400766373</v>
      </c>
      <c r="S6" s="187"/>
      <c r="T6" s="4"/>
      <c r="U6" s="4"/>
      <c r="V6" s="4"/>
      <c r="W6" s="4"/>
    </row>
    <row r="7" spans="1:23" ht="33" customHeight="1" thickBot="1">
      <c r="A7" s="4"/>
      <c r="B7" s="21" t="s">
        <v>97</v>
      </c>
      <c r="C7" s="22" t="s">
        <v>29</v>
      </c>
      <c r="D7" s="23">
        <f>'بهای تمام شده'!L21</f>
        <v>264067071.07808307</v>
      </c>
      <c r="E7" s="4"/>
      <c r="F7" s="4"/>
      <c r="G7" s="4"/>
      <c r="H7" s="4"/>
      <c r="I7" s="186"/>
      <c r="J7" s="29">
        <v>820</v>
      </c>
      <c r="K7" s="25">
        <v>50118302.837400839</v>
      </c>
      <c r="L7" s="25">
        <v>52254797.228099018</v>
      </c>
      <c r="M7" s="25">
        <v>54391291.618797116</v>
      </c>
      <c r="N7" s="25">
        <v>56527786.009495407</v>
      </c>
      <c r="O7" s="25">
        <v>58664280.400193617</v>
      </c>
      <c r="P7" s="25">
        <v>60800774.790891863</v>
      </c>
      <c r="Q7" s="25">
        <v>62937269.181589983</v>
      </c>
      <c r="R7" s="27">
        <v>65073763.57228817</v>
      </c>
      <c r="S7" s="187"/>
      <c r="T7" s="4"/>
      <c r="U7" s="4"/>
      <c r="V7" s="4"/>
      <c r="W7" s="4"/>
    </row>
    <row r="8" spans="1:23" ht="33" customHeight="1" thickBot="1">
      <c r="A8" s="4"/>
      <c r="B8" s="21" t="s">
        <v>103</v>
      </c>
      <c r="C8" s="22" t="s">
        <v>54</v>
      </c>
      <c r="D8" s="23">
        <v>440</v>
      </c>
      <c r="E8" s="4"/>
      <c r="F8" s="4"/>
      <c r="G8" s="4"/>
      <c r="H8" s="4"/>
      <c r="I8" s="186"/>
      <c r="J8" s="29">
        <v>840</v>
      </c>
      <c r="K8" s="25">
        <v>53455414.21152842</v>
      </c>
      <c r="L8" s="25">
        <v>55773932.858997278</v>
      </c>
      <c r="M8" s="25">
        <v>58092451.506465986</v>
      </c>
      <c r="N8" s="25">
        <v>60410970.153934792</v>
      </c>
      <c r="O8" s="25">
        <v>62729488.80140356</v>
      </c>
      <c r="P8" s="25">
        <v>65048007.448872432</v>
      </c>
      <c r="Q8" s="25">
        <v>67366526.096341223</v>
      </c>
      <c r="R8" s="27">
        <v>69685044.743809968</v>
      </c>
      <c r="S8" s="187"/>
      <c r="T8" s="4"/>
      <c r="U8" s="4"/>
      <c r="V8" s="4"/>
      <c r="W8" s="4"/>
    </row>
    <row r="9" spans="1:23" ht="33" customHeight="1">
      <c r="A9" s="4"/>
      <c r="B9" s="4"/>
      <c r="C9" s="4"/>
      <c r="D9" s="4"/>
      <c r="E9" s="4"/>
      <c r="F9" s="4"/>
      <c r="G9" s="4"/>
      <c r="H9" s="4"/>
      <c r="I9" s="186"/>
      <c r="J9" s="29">
        <v>860</v>
      </c>
      <c r="K9" s="25">
        <v>56792525.585655995</v>
      </c>
      <c r="L9" s="25">
        <v>59293068.489895418</v>
      </c>
      <c r="M9" s="25">
        <v>61793611.394134805</v>
      </c>
      <c r="N9" s="25">
        <v>64294154.298374221</v>
      </c>
      <c r="O9" s="25">
        <v>66794697.202613562</v>
      </c>
      <c r="P9" s="25">
        <v>69295240.106853098</v>
      </c>
      <c r="Q9" s="25">
        <v>71795783.011092335</v>
      </c>
      <c r="R9" s="27">
        <v>74296325.915331751</v>
      </c>
      <c r="S9" s="187"/>
      <c r="T9" s="4"/>
      <c r="U9" s="4"/>
      <c r="V9" s="4"/>
      <c r="W9" s="4"/>
    </row>
    <row r="10" spans="1:23" ht="33" customHeight="1">
      <c r="A10" s="4"/>
      <c r="B10" s="4"/>
      <c r="C10" s="4"/>
      <c r="D10" s="4"/>
      <c r="E10" s="4"/>
      <c r="F10" s="4"/>
      <c r="G10" s="4"/>
      <c r="H10" s="4"/>
      <c r="I10" s="186"/>
      <c r="J10" s="29">
        <v>880</v>
      </c>
      <c r="K10" s="25">
        <v>60129636.959783688</v>
      </c>
      <c r="L10" s="25">
        <v>62812204.120793723</v>
      </c>
      <c r="M10" s="25">
        <v>65494771.281803563</v>
      </c>
      <c r="N10" s="25">
        <v>68177338.44281359</v>
      </c>
      <c r="O10" s="25">
        <v>70859905.603823557</v>
      </c>
      <c r="P10" s="25">
        <v>73542472.764833659</v>
      </c>
      <c r="Q10" s="25">
        <v>76225039.925843507</v>
      </c>
      <c r="R10" s="27">
        <v>78907607.086853564</v>
      </c>
      <c r="S10" s="187"/>
      <c r="T10" s="4"/>
      <c r="U10" s="4"/>
      <c r="V10" s="4"/>
      <c r="W10" s="4"/>
    </row>
    <row r="11" spans="1:23" ht="33" customHeight="1">
      <c r="A11" s="4"/>
      <c r="B11" s="31" t="s">
        <v>61</v>
      </c>
      <c r="C11" s="10" t="s">
        <v>101</v>
      </c>
      <c r="D11" s="32">
        <f>'سود و زیان'!K22</f>
        <v>61183809.703091085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33" customHeight="1">
      <c r="A12" s="4"/>
      <c r="B12" s="10" t="s">
        <v>100</v>
      </c>
      <c r="C12" s="10" t="s">
        <v>101</v>
      </c>
      <c r="D12" s="32">
        <v>386400000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33" customHeight="1">
      <c r="A13" s="4"/>
      <c r="B13" s="188" t="s">
        <v>55</v>
      </c>
      <c r="C13" s="189"/>
      <c r="D13" s="19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33" customHeight="1" thickBot="1">
      <c r="A14" s="4"/>
      <c r="B14" s="191"/>
      <c r="C14" s="192"/>
      <c r="D14" s="193"/>
      <c r="E14" s="4"/>
      <c r="F14" s="4"/>
      <c r="G14" s="195"/>
      <c r="H14" s="19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33" customHeight="1">
      <c r="A15" s="4"/>
      <c r="B15" s="12">
        <v>5</v>
      </c>
      <c r="C15" s="13"/>
      <c r="D15" s="8">
        <f>D11*B15</f>
        <v>305919048.51545542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3" customHeight="1">
      <c r="A16" s="4"/>
      <c r="B16" s="11">
        <v>7</v>
      </c>
      <c r="C16" s="10"/>
      <c r="D16" s="9">
        <f>B16*D11</f>
        <v>428286667.92163759</v>
      </c>
      <c r="E16" s="4"/>
      <c r="F16" s="4"/>
      <c r="G16" s="195"/>
      <c r="H16" s="19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9.25" customHeight="1">
      <c r="A17" s="4"/>
      <c r="B17" s="4"/>
      <c r="C17" s="4"/>
      <c r="D17" s="4"/>
      <c r="E17" s="4"/>
      <c r="F17" s="4"/>
      <c r="G17" s="195"/>
      <c r="H17" s="19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9.25" customHeight="1">
      <c r="A18" s="4"/>
      <c r="B18" s="183" t="s">
        <v>112</v>
      </c>
      <c r="C18" s="183"/>
      <c r="D18" s="183"/>
      <c r="E18" s="184"/>
      <c r="F18" s="184"/>
      <c r="G18" s="194"/>
      <c r="H18" s="19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9.25" customHeight="1">
      <c r="A19" s="4"/>
      <c r="B19" s="183"/>
      <c r="C19" s="183"/>
      <c r="D19" s="183"/>
      <c r="E19" s="184"/>
      <c r="F19" s="184"/>
      <c r="G19" s="194"/>
      <c r="H19" s="19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9.45" customHeight="1">
      <c r="A20" s="4"/>
      <c r="B20" s="183" t="s">
        <v>113</v>
      </c>
      <c r="C20" s="183"/>
      <c r="D20" s="183"/>
      <c r="E20" s="184"/>
      <c r="F20" s="184"/>
      <c r="G20" s="184"/>
      <c r="H20" s="18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9.45" customHeight="1">
      <c r="A21" s="4"/>
      <c r="B21" s="183"/>
      <c r="C21" s="183"/>
      <c r="D21" s="183"/>
      <c r="E21" s="184"/>
      <c r="F21" s="184"/>
      <c r="G21" s="184"/>
      <c r="H21" s="18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9.45" customHeight="1">
      <c r="B22" s="185"/>
      <c r="C22" s="184"/>
      <c r="D22" s="184" t="s">
        <v>114</v>
      </c>
      <c r="E22" s="184"/>
      <c r="F22" s="184"/>
      <c r="G22" s="184"/>
      <c r="H22" s="18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9.4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29.4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29.4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9.4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9.4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9.4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9.4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9.4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9.4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9.4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9.4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29.4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9.4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29.4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>
      <c r="B37" s="4"/>
      <c r="C37" s="4"/>
      <c r="D37" s="4"/>
    </row>
    <row r="38" spans="1:23">
      <c r="B38" s="4"/>
      <c r="C38" s="4"/>
      <c r="D38" s="4"/>
    </row>
  </sheetData>
  <mergeCells count="9">
    <mergeCell ref="G19:H19"/>
    <mergeCell ref="G14:H14"/>
    <mergeCell ref="G16:H16"/>
    <mergeCell ref="G17:H17"/>
    <mergeCell ref="J2:R3"/>
    <mergeCell ref="I2:I10"/>
    <mergeCell ref="S4:S10"/>
    <mergeCell ref="B13:D14"/>
    <mergeCell ref="G18:H18"/>
  </mergeCells>
  <conditionalFormatting sqref="K5:R10">
    <cfRule type="colorScale" priority="1">
      <colorScale>
        <cfvo type="percent" val="30"/>
        <cfvo type="percentile" val="0"/>
        <cfvo type="percent" val="70"/>
        <color rgb="FFF8696B"/>
        <color rgb="FFFFEB84"/>
        <color rgb="FF63BE7B"/>
      </colorScale>
    </cfRule>
  </conditionalFormatting>
  <printOptions horizont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91"/>
  <sheetViews>
    <sheetView rightToLeft="1" topLeftCell="A173" zoomScaleNormal="100" workbookViewId="0">
      <pane xSplit="2" topLeftCell="K1" activePane="topRight" state="frozenSplit"/>
      <selection activeCell="M80" sqref="M80"/>
      <selection pane="topRight" activeCell="P183" sqref="P183"/>
    </sheetView>
  </sheetViews>
  <sheetFormatPr defaultColWidth="9.140625" defaultRowHeight="14.25"/>
  <cols>
    <col min="1" max="1" width="9.140625" style="33"/>
    <col min="2" max="2" width="30.5703125" style="33" bestFit="1" customWidth="1"/>
    <col min="3" max="3" width="9.140625" style="33"/>
    <col min="4" max="4" width="28.7109375" style="33" bestFit="1" customWidth="1"/>
    <col min="5" max="5" width="31.85546875" style="33" bestFit="1" customWidth="1"/>
    <col min="6" max="6" width="31.7109375" style="33" bestFit="1" customWidth="1"/>
    <col min="7" max="7" width="30" style="33" bestFit="1" customWidth="1"/>
    <col min="8" max="8" width="30.42578125" style="33" bestFit="1" customWidth="1"/>
    <col min="9" max="9" width="29.28515625" style="33" customWidth="1"/>
    <col min="10" max="10" width="31.42578125" style="33" bestFit="1" customWidth="1"/>
    <col min="11" max="11" width="31.42578125" style="33" customWidth="1"/>
    <col min="12" max="12" width="32.7109375" style="34" bestFit="1" customWidth="1"/>
    <col min="13" max="13" width="31" style="33" bestFit="1" customWidth="1"/>
    <col min="14" max="14" width="41.42578125" style="33" bestFit="1" customWidth="1"/>
    <col min="15" max="15" width="32.42578125" style="33" bestFit="1" customWidth="1"/>
    <col min="16" max="16" width="12.28515625" style="14" bestFit="1" customWidth="1"/>
    <col min="17" max="17" width="12.7109375" style="14" bestFit="1" customWidth="1"/>
    <col min="18" max="18" width="13.85546875" style="14" bestFit="1" customWidth="1"/>
    <col min="19" max="19" width="12.42578125" style="14" bestFit="1" customWidth="1"/>
    <col min="20" max="20" width="12.5703125" style="14" bestFit="1" customWidth="1"/>
    <col min="21" max="27" width="9.140625" style="14"/>
    <col min="28" max="16384" width="9.140625" style="15"/>
  </cols>
  <sheetData>
    <row r="1" spans="1: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35" ht="15" thickBo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35" ht="30">
      <c r="A3" s="15"/>
      <c r="B3" s="196" t="s">
        <v>22</v>
      </c>
      <c r="C3" s="197"/>
      <c r="D3" s="197"/>
      <c r="E3" s="197"/>
      <c r="F3" s="197"/>
      <c r="G3" s="197"/>
      <c r="H3" s="198"/>
      <c r="I3" s="198"/>
      <c r="J3" s="198"/>
      <c r="K3" s="198"/>
      <c r="L3" s="199"/>
      <c r="M3" s="35"/>
      <c r="N3" s="35"/>
      <c r="O3" s="35"/>
      <c r="P3" s="35"/>
    </row>
    <row r="4" spans="1:35" ht="39" customHeight="1">
      <c r="A4" s="14"/>
      <c r="B4" s="36" t="s">
        <v>0</v>
      </c>
      <c r="C4" s="37" t="s">
        <v>23</v>
      </c>
      <c r="D4" s="37">
        <v>1399</v>
      </c>
      <c r="E4" s="37">
        <v>1400</v>
      </c>
      <c r="F4" s="37">
        <v>1401</v>
      </c>
      <c r="G4" s="37">
        <v>1402</v>
      </c>
      <c r="H4" s="38" t="s">
        <v>74</v>
      </c>
      <c r="I4" s="38" t="s">
        <v>81</v>
      </c>
      <c r="J4" s="38" t="s">
        <v>87</v>
      </c>
      <c r="K4" s="170" t="s">
        <v>108</v>
      </c>
      <c r="L4" s="39" t="s">
        <v>75</v>
      </c>
      <c r="M4" s="40"/>
      <c r="N4" s="35"/>
      <c r="O4" s="35"/>
      <c r="P4" s="35"/>
      <c r="AB4" s="14"/>
    </row>
    <row r="5" spans="1:35" ht="30.75" customHeight="1">
      <c r="A5" s="14"/>
      <c r="B5" s="200" t="s">
        <v>80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41"/>
      <c r="N5" s="42"/>
      <c r="O5" s="42"/>
      <c r="P5" s="4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/>
      <c r="AC5"/>
      <c r="AD5"/>
      <c r="AE5"/>
      <c r="AF5"/>
      <c r="AG5"/>
      <c r="AH5"/>
      <c r="AI5"/>
    </row>
    <row r="6" spans="1:35" ht="30.75" customHeight="1" thickBot="1">
      <c r="A6" s="14"/>
      <c r="B6" s="43" t="s">
        <v>62</v>
      </c>
      <c r="C6" s="44" t="s">
        <v>25</v>
      </c>
      <c r="D6" s="45">
        <v>48423</v>
      </c>
      <c r="E6" s="45">
        <v>50809</v>
      </c>
      <c r="F6" s="45">
        <v>63650</v>
      </c>
      <c r="G6" s="45">
        <v>58216</v>
      </c>
      <c r="H6" s="46">
        <v>83322</v>
      </c>
      <c r="I6" s="46">
        <v>11417</v>
      </c>
      <c r="J6" s="46">
        <v>20613</v>
      </c>
      <c r="K6" s="47">
        <f>$K$26*K32</f>
        <v>20613</v>
      </c>
      <c r="L6" s="47">
        <f>K6+J6</f>
        <v>41226</v>
      </c>
      <c r="M6" s="48"/>
      <c r="N6" s="48"/>
      <c r="O6" s="42"/>
      <c r="P6" s="4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/>
      <c r="AC6"/>
      <c r="AD6"/>
      <c r="AE6"/>
      <c r="AF6"/>
      <c r="AG6"/>
      <c r="AH6"/>
      <c r="AI6"/>
    </row>
    <row r="7" spans="1:35" ht="30.75" customHeight="1" thickBot="1">
      <c r="A7" s="14"/>
      <c r="B7" s="43" t="s">
        <v>63</v>
      </c>
      <c r="C7" s="44" t="s">
        <v>25</v>
      </c>
      <c r="D7" s="45">
        <v>49080</v>
      </c>
      <c r="E7" s="45">
        <v>64339</v>
      </c>
      <c r="F7" s="45">
        <v>65150</v>
      </c>
      <c r="G7" s="45">
        <v>49149</v>
      </c>
      <c r="H7" s="46">
        <v>45303</v>
      </c>
      <c r="I7" s="46">
        <v>13088</v>
      </c>
      <c r="J7" s="46">
        <v>26943</v>
      </c>
      <c r="K7" s="47">
        <f t="shared" ref="K7:K15" si="0">$K$26*K33</f>
        <v>26943</v>
      </c>
      <c r="L7" s="47">
        <f>K7+J7</f>
        <v>53886</v>
      </c>
      <c r="M7" s="41"/>
      <c r="N7" s="42"/>
      <c r="O7" s="42"/>
      <c r="P7" s="4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/>
      <c r="AC7"/>
      <c r="AD7"/>
      <c r="AE7"/>
      <c r="AF7"/>
      <c r="AG7"/>
      <c r="AH7"/>
      <c r="AI7"/>
    </row>
    <row r="8" spans="1:35" ht="30.75" customHeight="1" thickBot="1">
      <c r="A8" s="14"/>
      <c r="B8" s="43" t="s">
        <v>64</v>
      </c>
      <c r="C8" s="44" t="s">
        <v>25</v>
      </c>
      <c r="D8" s="45">
        <v>7561</v>
      </c>
      <c r="E8" s="45">
        <v>7536</v>
      </c>
      <c r="F8" s="45">
        <v>8113</v>
      </c>
      <c r="G8" s="45">
        <v>14441</v>
      </c>
      <c r="H8" s="46">
        <v>16297</v>
      </c>
      <c r="I8" s="46">
        <v>4504</v>
      </c>
      <c r="J8" s="46">
        <v>8681</v>
      </c>
      <c r="K8" s="47">
        <f t="shared" si="0"/>
        <v>8681</v>
      </c>
      <c r="L8" s="47">
        <f t="shared" ref="L8:L14" si="1">K8+J8</f>
        <v>17362</v>
      </c>
      <c r="M8" s="41"/>
      <c r="N8" s="42"/>
      <c r="O8" s="42"/>
      <c r="P8" s="4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/>
      <c r="AC8"/>
      <c r="AD8"/>
      <c r="AE8"/>
      <c r="AF8"/>
      <c r="AG8"/>
      <c r="AH8"/>
      <c r="AI8"/>
    </row>
    <row r="9" spans="1:35" ht="30.75" customHeight="1" thickBot="1">
      <c r="A9" s="14"/>
      <c r="B9" s="43" t="s">
        <v>65</v>
      </c>
      <c r="C9" s="44" t="s">
        <v>25</v>
      </c>
      <c r="D9" s="45">
        <v>23468</v>
      </c>
      <c r="E9" s="45">
        <v>24214</v>
      </c>
      <c r="F9" s="45">
        <v>21945</v>
      </c>
      <c r="G9" s="45">
        <v>26666</v>
      </c>
      <c r="H9" s="46">
        <v>31793</v>
      </c>
      <c r="I9" s="46">
        <v>6048</v>
      </c>
      <c r="J9" s="46">
        <v>9734</v>
      </c>
      <c r="K9" s="47">
        <f t="shared" si="0"/>
        <v>9734</v>
      </c>
      <c r="L9" s="47">
        <f t="shared" si="1"/>
        <v>19468</v>
      </c>
      <c r="M9" s="49"/>
      <c r="N9" s="42"/>
      <c r="O9" s="42"/>
      <c r="P9" s="4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/>
      <c r="AC9"/>
      <c r="AD9"/>
      <c r="AE9"/>
      <c r="AF9"/>
      <c r="AG9"/>
      <c r="AH9"/>
      <c r="AI9"/>
    </row>
    <row r="10" spans="1:35" ht="30.75" customHeight="1" thickBot="1">
      <c r="A10" s="14"/>
      <c r="B10" s="43" t="s">
        <v>66</v>
      </c>
      <c r="C10" s="44" t="s">
        <v>25</v>
      </c>
      <c r="D10" s="45">
        <v>506</v>
      </c>
      <c r="E10" s="45">
        <v>721</v>
      </c>
      <c r="F10" s="45">
        <v>668</v>
      </c>
      <c r="G10" s="45">
        <v>1006</v>
      </c>
      <c r="H10" s="46">
        <v>2000</v>
      </c>
      <c r="I10" s="46">
        <v>150</v>
      </c>
      <c r="J10" s="46">
        <v>276</v>
      </c>
      <c r="K10" s="47">
        <f t="shared" si="0"/>
        <v>276</v>
      </c>
      <c r="L10" s="47">
        <f t="shared" si="1"/>
        <v>552</v>
      </c>
      <c r="M10" s="41"/>
      <c r="N10" s="42"/>
      <c r="O10" s="42"/>
      <c r="P10" s="4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/>
      <c r="AC10"/>
      <c r="AD10"/>
      <c r="AE10"/>
      <c r="AF10"/>
      <c r="AG10"/>
      <c r="AH10"/>
      <c r="AI10"/>
    </row>
    <row r="11" spans="1:35" ht="30.75" customHeight="1" thickBot="1">
      <c r="A11" s="14"/>
      <c r="B11" s="43" t="s">
        <v>67</v>
      </c>
      <c r="C11" s="44" t="s">
        <v>25</v>
      </c>
      <c r="D11" s="45">
        <v>1731</v>
      </c>
      <c r="E11" s="45">
        <v>1677</v>
      </c>
      <c r="F11" s="45">
        <v>1009</v>
      </c>
      <c r="G11" s="45">
        <v>675</v>
      </c>
      <c r="H11" s="46">
        <v>0</v>
      </c>
      <c r="I11" s="46">
        <v>61</v>
      </c>
      <c r="J11" s="46">
        <v>1272</v>
      </c>
      <c r="K11" s="47">
        <f t="shared" si="0"/>
        <v>1272</v>
      </c>
      <c r="L11" s="47">
        <f t="shared" si="1"/>
        <v>2544</v>
      </c>
      <c r="M11" s="41"/>
      <c r="N11" s="42"/>
      <c r="O11" s="42"/>
      <c r="P11" s="4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/>
      <c r="AC11"/>
      <c r="AD11"/>
      <c r="AE11"/>
      <c r="AF11"/>
      <c r="AG11"/>
      <c r="AH11"/>
      <c r="AI11"/>
    </row>
    <row r="12" spans="1:35" ht="30.75" customHeight="1" thickBot="1">
      <c r="A12" s="14"/>
      <c r="B12" s="43" t="s">
        <v>68</v>
      </c>
      <c r="C12" s="44" t="s">
        <v>25</v>
      </c>
      <c r="D12" s="45">
        <v>10004</v>
      </c>
      <c r="E12" s="45">
        <v>7673</v>
      </c>
      <c r="F12" s="45">
        <v>7087</v>
      </c>
      <c r="G12" s="45">
        <v>4861</v>
      </c>
      <c r="H12" s="46">
        <v>2802</v>
      </c>
      <c r="I12" s="46">
        <v>0</v>
      </c>
      <c r="J12" s="46">
        <v>0</v>
      </c>
      <c r="K12" s="47">
        <f t="shared" si="0"/>
        <v>0</v>
      </c>
      <c r="L12" s="47">
        <f t="shared" si="1"/>
        <v>0</v>
      </c>
      <c r="M12" s="41"/>
      <c r="N12" s="42"/>
      <c r="O12" s="42"/>
      <c r="P12" s="4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/>
      <c r="AC12"/>
      <c r="AD12"/>
      <c r="AE12"/>
      <c r="AF12"/>
      <c r="AG12"/>
      <c r="AH12"/>
      <c r="AI12"/>
    </row>
    <row r="13" spans="1:35" ht="30.75" customHeight="1" thickBot="1">
      <c r="A13" s="14"/>
      <c r="B13" s="43" t="s">
        <v>69</v>
      </c>
      <c r="C13" s="44" t="s">
        <v>25</v>
      </c>
      <c r="D13" s="45">
        <v>25971</v>
      </c>
      <c r="E13" s="45">
        <v>17569</v>
      </c>
      <c r="F13" s="45">
        <v>21953</v>
      </c>
      <c r="G13" s="45">
        <v>16858</v>
      </c>
      <c r="H13" s="46">
        <v>18612</v>
      </c>
      <c r="I13" s="46">
        <v>6312</v>
      </c>
      <c r="J13" s="46">
        <v>13480</v>
      </c>
      <c r="K13" s="47">
        <f t="shared" si="0"/>
        <v>13480</v>
      </c>
      <c r="L13" s="47">
        <f t="shared" si="1"/>
        <v>26960</v>
      </c>
      <c r="M13" s="41"/>
      <c r="N13" s="42"/>
      <c r="O13" s="42"/>
      <c r="P13" s="4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/>
      <c r="AC13"/>
      <c r="AD13"/>
      <c r="AE13"/>
      <c r="AF13"/>
      <c r="AG13"/>
      <c r="AH13"/>
      <c r="AI13"/>
    </row>
    <row r="14" spans="1:35" ht="25.5" customHeight="1" thickBot="1">
      <c r="A14" s="14"/>
      <c r="B14" s="43" t="s">
        <v>70</v>
      </c>
      <c r="C14" s="44" t="s">
        <v>25</v>
      </c>
      <c r="D14" s="45">
        <v>61225</v>
      </c>
      <c r="E14" s="45">
        <v>80089</v>
      </c>
      <c r="F14" s="45">
        <v>69857</v>
      </c>
      <c r="G14" s="45">
        <v>52620</v>
      </c>
      <c r="H14" s="46">
        <v>41712</v>
      </c>
      <c r="I14" s="46">
        <v>28226</v>
      </c>
      <c r="J14" s="46">
        <v>38077</v>
      </c>
      <c r="K14" s="47">
        <f t="shared" si="0"/>
        <v>38077</v>
      </c>
      <c r="L14" s="47">
        <f t="shared" si="1"/>
        <v>76154</v>
      </c>
      <c r="M14" s="50"/>
      <c r="N14" s="42"/>
      <c r="O14" s="42"/>
      <c r="P14" s="4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/>
      <c r="AC14"/>
      <c r="AD14"/>
      <c r="AE14"/>
      <c r="AF14"/>
      <c r="AG14"/>
      <c r="AH14"/>
      <c r="AI14"/>
    </row>
    <row r="15" spans="1:35" ht="25.5" customHeight="1" thickBot="1">
      <c r="A15" s="14"/>
      <c r="B15" s="43" t="s">
        <v>71</v>
      </c>
      <c r="C15" s="44" t="s">
        <v>25</v>
      </c>
      <c r="D15" s="45">
        <v>13988</v>
      </c>
      <c r="E15" s="45">
        <v>16031</v>
      </c>
      <c r="F15" s="45">
        <v>16878</v>
      </c>
      <c r="G15" s="45">
        <v>8639</v>
      </c>
      <c r="H15" s="46">
        <v>21478</v>
      </c>
      <c r="I15" s="46">
        <v>5830</v>
      </c>
      <c r="J15" s="46">
        <v>9654</v>
      </c>
      <c r="K15" s="47">
        <f t="shared" si="0"/>
        <v>9654</v>
      </c>
      <c r="L15" s="47">
        <f>K15+J15</f>
        <v>19308</v>
      </c>
      <c r="M15" s="50"/>
      <c r="N15" s="42"/>
      <c r="O15" s="42"/>
      <c r="P15" s="4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/>
      <c r="AC15"/>
      <c r="AD15"/>
      <c r="AE15"/>
      <c r="AF15"/>
      <c r="AG15"/>
      <c r="AH15"/>
      <c r="AI15"/>
    </row>
    <row r="16" spans="1:35" ht="41.25" customHeight="1">
      <c r="A16" s="14"/>
      <c r="B16" s="200" t="s">
        <v>72</v>
      </c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41"/>
      <c r="N16" s="42"/>
      <c r="O16" s="42"/>
      <c r="P16" s="4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/>
      <c r="AC16"/>
      <c r="AD16"/>
      <c r="AE16"/>
      <c r="AF16"/>
      <c r="AG16"/>
      <c r="AH16"/>
      <c r="AI16"/>
    </row>
    <row r="17" spans="1:35" ht="30.75" thickBot="1">
      <c r="A17" s="14"/>
      <c r="B17" s="43" t="s">
        <v>71</v>
      </c>
      <c r="C17" s="44" t="s">
        <v>25</v>
      </c>
      <c r="D17" s="45">
        <v>29857</v>
      </c>
      <c r="E17" s="45">
        <v>26109</v>
      </c>
      <c r="F17" s="51">
        <v>19146</v>
      </c>
      <c r="G17" s="51">
        <v>31735</v>
      </c>
      <c r="H17" s="52">
        <v>36420</v>
      </c>
      <c r="I17" s="52">
        <v>11096</v>
      </c>
      <c r="J17" s="52">
        <v>24258</v>
      </c>
      <c r="K17" s="53">
        <f>$K$26*K44</f>
        <v>24258</v>
      </c>
      <c r="L17" s="53">
        <f>K17+J17</f>
        <v>48516</v>
      </c>
      <c r="M17" s="41"/>
      <c r="N17" s="42"/>
      <c r="O17" s="42"/>
      <c r="P17" s="4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/>
      <c r="AC17"/>
      <c r="AD17"/>
      <c r="AE17"/>
      <c r="AF17"/>
      <c r="AG17"/>
      <c r="AH17"/>
      <c r="AI17"/>
    </row>
    <row r="18" spans="1:35" ht="30.75" thickBot="1">
      <c r="A18" s="14"/>
      <c r="B18" s="43" t="s">
        <v>65</v>
      </c>
      <c r="C18" s="44" t="s">
        <v>25</v>
      </c>
      <c r="D18" s="45">
        <v>0</v>
      </c>
      <c r="E18" s="45">
        <v>42</v>
      </c>
      <c r="F18" s="51">
        <v>6521</v>
      </c>
      <c r="G18" s="51">
        <v>94008</v>
      </c>
      <c r="H18" s="52">
        <v>115897</v>
      </c>
      <c r="I18" s="52">
        <v>31837</v>
      </c>
      <c r="J18" s="52">
        <v>63257</v>
      </c>
      <c r="K18" s="53">
        <f t="shared" ref="K18:K25" si="2">$K$26*K45</f>
        <v>63257</v>
      </c>
      <c r="L18" s="53">
        <f t="shared" ref="L18:L25" si="3">K18+J18</f>
        <v>126514</v>
      </c>
      <c r="M18" s="41"/>
      <c r="N18" s="42"/>
      <c r="O18" s="42"/>
      <c r="P18" s="4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/>
      <c r="AC18"/>
      <c r="AD18"/>
      <c r="AE18"/>
      <c r="AF18"/>
      <c r="AG18"/>
      <c r="AH18"/>
      <c r="AI18"/>
    </row>
    <row r="19" spans="1:35" ht="30.75" thickBot="1">
      <c r="A19" s="14"/>
      <c r="B19" s="43" t="s">
        <v>64</v>
      </c>
      <c r="C19" s="44" t="s">
        <v>25</v>
      </c>
      <c r="D19" s="45">
        <v>2595</v>
      </c>
      <c r="E19" s="45">
        <v>0</v>
      </c>
      <c r="F19" s="51">
        <v>0</v>
      </c>
      <c r="G19" s="51">
        <v>0</v>
      </c>
      <c r="H19" s="52">
        <v>0</v>
      </c>
      <c r="I19" s="52">
        <v>0</v>
      </c>
      <c r="J19" s="52"/>
      <c r="K19" s="53">
        <f t="shared" si="2"/>
        <v>0</v>
      </c>
      <c r="L19" s="53">
        <f t="shared" si="3"/>
        <v>0</v>
      </c>
      <c r="M19" s="41"/>
      <c r="N19" s="42"/>
      <c r="O19" s="42"/>
      <c r="P19" s="42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/>
      <c r="AC19"/>
      <c r="AD19"/>
      <c r="AE19"/>
      <c r="AF19"/>
      <c r="AG19"/>
      <c r="AH19"/>
      <c r="AI19"/>
    </row>
    <row r="20" spans="1:35" ht="30.75" thickBot="1">
      <c r="A20" s="14"/>
      <c r="B20" s="43" t="s">
        <v>70</v>
      </c>
      <c r="C20" s="44" t="s">
        <v>25</v>
      </c>
      <c r="D20" s="45">
        <v>218628</v>
      </c>
      <c r="E20" s="45">
        <v>200146</v>
      </c>
      <c r="F20" s="51">
        <v>186591</v>
      </c>
      <c r="G20" s="51">
        <v>144478</v>
      </c>
      <c r="H20" s="52">
        <v>66738</v>
      </c>
      <c r="I20" s="52">
        <v>12505</v>
      </c>
      <c r="J20" s="52">
        <v>48856</v>
      </c>
      <c r="K20" s="53">
        <f t="shared" si="2"/>
        <v>48856</v>
      </c>
      <c r="L20" s="53">
        <f t="shared" si="3"/>
        <v>97712</v>
      </c>
      <c r="M20" s="41"/>
      <c r="N20" s="42"/>
      <c r="O20" s="42"/>
      <c r="P20" s="42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/>
      <c r="AC20"/>
      <c r="AD20"/>
      <c r="AE20"/>
      <c r="AF20"/>
      <c r="AG20"/>
      <c r="AH20"/>
      <c r="AI20"/>
    </row>
    <row r="21" spans="1:35" ht="30.75" thickBot="1">
      <c r="A21" s="14"/>
      <c r="B21" s="43" t="s">
        <v>63</v>
      </c>
      <c r="C21" s="44" t="s">
        <v>25</v>
      </c>
      <c r="D21" s="45">
        <v>561</v>
      </c>
      <c r="E21" s="45">
        <v>645</v>
      </c>
      <c r="F21" s="51">
        <v>543</v>
      </c>
      <c r="G21" s="51">
        <v>124</v>
      </c>
      <c r="H21" s="52">
        <v>0</v>
      </c>
      <c r="I21" s="52">
        <v>390</v>
      </c>
      <c r="J21" s="52">
        <v>554</v>
      </c>
      <c r="K21" s="53">
        <f t="shared" si="2"/>
        <v>554</v>
      </c>
      <c r="L21" s="53">
        <f t="shared" si="3"/>
        <v>1108</v>
      </c>
      <c r="M21" s="41"/>
      <c r="N21" s="42"/>
      <c r="O21" s="42"/>
      <c r="P21" s="42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/>
      <c r="AC21"/>
      <c r="AD21"/>
      <c r="AE21"/>
      <c r="AF21"/>
      <c r="AG21"/>
      <c r="AH21"/>
      <c r="AI21"/>
    </row>
    <row r="22" spans="1:35" ht="30.75" thickBot="1">
      <c r="A22" s="14"/>
      <c r="B22" s="43" t="s">
        <v>62</v>
      </c>
      <c r="C22" s="44" t="s">
        <v>25</v>
      </c>
      <c r="D22" s="45">
        <v>18512</v>
      </c>
      <c r="E22" s="45">
        <v>10514</v>
      </c>
      <c r="F22" s="51">
        <v>11510</v>
      </c>
      <c r="G22" s="51">
        <v>5107</v>
      </c>
      <c r="H22" s="52">
        <v>15384</v>
      </c>
      <c r="I22" s="52">
        <v>1799</v>
      </c>
      <c r="J22" s="52">
        <v>3119</v>
      </c>
      <c r="K22" s="53">
        <f t="shared" si="2"/>
        <v>3119</v>
      </c>
      <c r="L22" s="53">
        <f t="shared" si="3"/>
        <v>6238</v>
      </c>
      <c r="M22" s="41"/>
      <c r="N22" s="42"/>
      <c r="O22" s="42"/>
      <c r="P22" s="42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/>
      <c r="AC22"/>
      <c r="AD22"/>
      <c r="AE22"/>
      <c r="AF22"/>
      <c r="AG22"/>
      <c r="AH22"/>
      <c r="AI22"/>
    </row>
    <row r="23" spans="1:35" ht="30.75" thickBot="1">
      <c r="A23" s="14"/>
      <c r="B23" s="43" t="s">
        <v>68</v>
      </c>
      <c r="C23" s="44" t="s">
        <v>25</v>
      </c>
      <c r="D23" s="45">
        <v>9560</v>
      </c>
      <c r="E23" s="45">
        <v>14512</v>
      </c>
      <c r="F23" s="51">
        <v>20755</v>
      </c>
      <c r="G23" s="51">
        <v>19106</v>
      </c>
      <c r="H23" s="52">
        <v>5603</v>
      </c>
      <c r="I23" s="52">
        <v>0</v>
      </c>
      <c r="J23" s="52">
        <v>0</v>
      </c>
      <c r="K23" s="53">
        <f t="shared" si="2"/>
        <v>0</v>
      </c>
      <c r="L23" s="53">
        <f t="shared" si="3"/>
        <v>0</v>
      </c>
      <c r="M23" s="41"/>
      <c r="N23" s="42"/>
      <c r="O23" s="42"/>
      <c r="P23" s="42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/>
      <c r="AC23"/>
      <c r="AD23"/>
      <c r="AE23"/>
      <c r="AF23"/>
      <c r="AG23"/>
      <c r="AH23"/>
      <c r="AI23"/>
    </row>
    <row r="24" spans="1:35" ht="30.75" thickBot="1">
      <c r="A24" s="14"/>
      <c r="B24" s="43" t="s">
        <v>69</v>
      </c>
      <c r="C24" s="44" t="s">
        <v>25</v>
      </c>
      <c r="D24" s="45">
        <v>183277</v>
      </c>
      <c r="E24" s="45">
        <v>198346</v>
      </c>
      <c r="F24" s="51">
        <v>199541</v>
      </c>
      <c r="G24" s="51">
        <v>210178</v>
      </c>
      <c r="H24" s="52">
        <v>174022</v>
      </c>
      <c r="I24" s="52">
        <v>49093</v>
      </c>
      <c r="J24" s="52">
        <v>102456</v>
      </c>
      <c r="K24" s="53">
        <f>$K$26*K51</f>
        <v>102456</v>
      </c>
      <c r="L24" s="53">
        <f>K24+J24</f>
        <v>204912</v>
      </c>
      <c r="M24" s="41"/>
      <c r="N24" s="54"/>
      <c r="O24" s="42"/>
      <c r="P24" s="42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/>
      <c r="AC24"/>
      <c r="AD24"/>
      <c r="AE24"/>
      <c r="AF24"/>
      <c r="AG24"/>
      <c r="AH24"/>
      <c r="AI24"/>
    </row>
    <row r="25" spans="1:35" ht="23.25" thickBot="1">
      <c r="A25" s="14"/>
      <c r="B25" s="55" t="s">
        <v>73</v>
      </c>
      <c r="C25" s="56" t="s">
        <v>25</v>
      </c>
      <c r="D25" s="45">
        <v>0</v>
      </c>
      <c r="E25" s="45">
        <v>0</v>
      </c>
      <c r="F25" s="51">
        <v>0</v>
      </c>
      <c r="G25" s="51">
        <v>3271</v>
      </c>
      <c r="H25" s="52">
        <v>0</v>
      </c>
      <c r="I25" s="52">
        <v>0</v>
      </c>
      <c r="J25" s="52"/>
      <c r="K25" s="53">
        <f t="shared" si="2"/>
        <v>0</v>
      </c>
      <c r="L25" s="53">
        <f t="shared" si="3"/>
        <v>0</v>
      </c>
      <c r="M25" s="50"/>
      <c r="N25" s="42"/>
      <c r="O25" s="42"/>
      <c r="P25" s="4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/>
      <c r="AC25"/>
      <c r="AD25"/>
      <c r="AE25"/>
      <c r="AF25"/>
      <c r="AG25"/>
      <c r="AH25"/>
      <c r="AI25"/>
    </row>
    <row r="26" spans="1:35" ht="36.75" customHeight="1" thickBot="1">
      <c r="A26" s="14"/>
      <c r="B26" s="206" t="s">
        <v>27</v>
      </c>
      <c r="C26" s="206"/>
      <c r="D26" s="58">
        <f t="shared" ref="D26:J26" si="4">SUM(D6:D15,D17:D25)</f>
        <v>704947</v>
      </c>
      <c r="E26" s="51">
        <f t="shared" si="4"/>
        <v>720972</v>
      </c>
      <c r="F26" s="51">
        <f t="shared" si="4"/>
        <v>720917</v>
      </c>
      <c r="G26" s="51">
        <f t="shared" si="4"/>
        <v>741138</v>
      </c>
      <c r="H26" s="52">
        <f t="shared" si="4"/>
        <v>677383</v>
      </c>
      <c r="I26" s="52">
        <f t="shared" si="4"/>
        <v>182356</v>
      </c>
      <c r="J26" s="52">
        <f t="shared" si="4"/>
        <v>371230</v>
      </c>
      <c r="K26" s="53">
        <f>L26-J26</f>
        <v>371230</v>
      </c>
      <c r="L26" s="53">
        <f>(مفروضات!D3)</f>
        <v>742460</v>
      </c>
      <c r="M26" s="174">
        <f>D78/D26</f>
        <v>0.99672032081844453</v>
      </c>
      <c r="N26" s="174">
        <f t="shared" ref="N26:P26" si="5">E78/E26</f>
        <v>0.97543593925977712</v>
      </c>
      <c r="O26" s="177">
        <f t="shared" si="5"/>
        <v>1.0151265679682959</v>
      </c>
      <c r="P26" s="174">
        <f t="shared" si="5"/>
        <v>1.0030615081131988</v>
      </c>
      <c r="Q26" s="174">
        <f>H78/H26</f>
        <v>1.0485928935329054</v>
      </c>
      <c r="R26" s="174">
        <f t="shared" ref="R26" si="6">I78/I26</f>
        <v>0.87377985917655576</v>
      </c>
      <c r="S26" s="174">
        <f t="shared" ref="S26" si="7">J78/J26</f>
        <v>0.90805430595587644</v>
      </c>
      <c r="T26" s="174">
        <f t="shared" ref="T26" si="8">K78/K26</f>
        <v>1.0919456940441237</v>
      </c>
      <c r="U26" s="3"/>
      <c r="V26" s="3"/>
      <c r="W26" s="3"/>
      <c r="X26" s="3"/>
      <c r="Y26" s="3"/>
      <c r="Z26" s="3"/>
      <c r="AA26" s="3"/>
      <c r="AB26"/>
      <c r="AC26"/>
      <c r="AD26"/>
      <c r="AE26"/>
      <c r="AF26"/>
      <c r="AG26"/>
      <c r="AH26"/>
      <c r="AI26"/>
    </row>
    <row r="27" spans="1:35" ht="19.5">
      <c r="A27" s="14"/>
      <c r="B27" s="59"/>
      <c r="C27" s="59"/>
      <c r="D27" s="59"/>
      <c r="E27" s="60"/>
      <c r="F27" s="59"/>
      <c r="G27" s="59"/>
      <c r="H27" s="59"/>
      <c r="I27" s="59"/>
      <c r="J27" s="59"/>
      <c r="K27" s="59"/>
      <c r="L27" s="59"/>
      <c r="M27" s="59"/>
      <c r="N27" s="42"/>
      <c r="O27" s="42"/>
      <c r="P27" s="42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/>
      <c r="AC27"/>
      <c r="AD27"/>
      <c r="AE27"/>
      <c r="AF27"/>
      <c r="AG27"/>
      <c r="AH27"/>
      <c r="AI27"/>
    </row>
    <row r="28" spans="1:35" ht="20.25" thickBot="1">
      <c r="A28" s="14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42"/>
      <c r="O28" s="42"/>
      <c r="P28" s="42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/>
      <c r="AC28"/>
      <c r="AD28"/>
      <c r="AE28"/>
      <c r="AF28"/>
      <c r="AG28"/>
      <c r="AH28"/>
      <c r="AI28"/>
    </row>
    <row r="29" spans="1:35" ht="43.5" customHeight="1">
      <c r="A29" s="14"/>
      <c r="B29" s="196" t="s">
        <v>56</v>
      </c>
      <c r="C29" s="197"/>
      <c r="D29" s="197"/>
      <c r="E29" s="197"/>
      <c r="F29" s="197"/>
      <c r="G29" s="197"/>
      <c r="H29" s="198"/>
      <c r="I29" s="198"/>
      <c r="J29" s="198"/>
      <c r="K29" s="198"/>
      <c r="L29" s="199"/>
      <c r="M29" s="61"/>
      <c r="N29" s="42"/>
      <c r="O29" s="42"/>
      <c r="P29" s="42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/>
      <c r="AC29"/>
      <c r="AD29"/>
      <c r="AE29"/>
      <c r="AF29"/>
      <c r="AG29"/>
      <c r="AH29"/>
      <c r="AI29"/>
    </row>
    <row r="30" spans="1:35" ht="35.25" customHeight="1">
      <c r="A30" s="14"/>
      <c r="B30" s="37" t="s">
        <v>0</v>
      </c>
      <c r="C30" s="37" t="s">
        <v>23</v>
      </c>
      <c r="D30" s="37">
        <v>1399</v>
      </c>
      <c r="E30" s="37">
        <v>1400</v>
      </c>
      <c r="F30" s="37">
        <v>1401</v>
      </c>
      <c r="G30" s="37">
        <v>1402</v>
      </c>
      <c r="H30" s="38" t="s">
        <v>74</v>
      </c>
      <c r="I30" s="38" t="s">
        <v>81</v>
      </c>
      <c r="J30" s="38" t="s">
        <v>87</v>
      </c>
      <c r="K30" s="170" t="s">
        <v>108</v>
      </c>
      <c r="L30" s="39" t="s">
        <v>75</v>
      </c>
      <c r="M30" s="61"/>
      <c r="N30" s="35"/>
      <c r="O30" s="42"/>
      <c r="P30" s="42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/>
      <c r="AC30"/>
      <c r="AD30"/>
      <c r="AE30"/>
      <c r="AF30"/>
      <c r="AG30"/>
      <c r="AH30"/>
      <c r="AI30"/>
    </row>
    <row r="31" spans="1:35" ht="35.25" customHeight="1">
      <c r="A31" s="14"/>
      <c r="B31" s="200" t="s">
        <v>105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61"/>
      <c r="N31" s="179" t="s">
        <v>110</v>
      </c>
      <c r="O31" s="42"/>
      <c r="P31" s="42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/>
      <c r="AC31"/>
      <c r="AD31"/>
      <c r="AE31"/>
      <c r="AF31"/>
      <c r="AG31"/>
      <c r="AH31"/>
      <c r="AI31"/>
    </row>
    <row r="32" spans="1:35" ht="22.5" customHeight="1">
      <c r="A32" s="14"/>
      <c r="B32" s="62" t="s">
        <v>62</v>
      </c>
      <c r="C32" s="63" t="s">
        <v>25</v>
      </c>
      <c r="D32" s="64">
        <f t="shared" ref="D32:H32" si="9">D6/D$26</f>
        <v>6.8690270332379594E-2</v>
      </c>
      <c r="E32" s="64">
        <f t="shared" ref="E32:E41" si="10">E6/E$26</f>
        <v>7.0472917117447006E-2</v>
      </c>
      <c r="F32" s="64">
        <f t="shared" si="9"/>
        <v>8.8290330232190392E-2</v>
      </c>
      <c r="G32" s="64">
        <f t="shared" ref="G32:G41" si="11">G6/G$26</f>
        <v>7.8549473917138235E-2</v>
      </c>
      <c r="H32" s="65">
        <f t="shared" si="9"/>
        <v>0.12300574416541307</v>
      </c>
      <c r="I32" s="65">
        <f>I6/I$26</f>
        <v>6.2608304634889991E-2</v>
      </c>
      <c r="J32" s="65">
        <f>J6/J$26</f>
        <v>5.5526223634943299E-2</v>
      </c>
      <c r="K32" s="66">
        <v>5.5526223634943299E-2</v>
      </c>
      <c r="L32" s="66"/>
      <c r="M32" s="212" t="s">
        <v>88</v>
      </c>
      <c r="N32" s="168">
        <f>AVERAGE(D32:G32)</f>
        <v>7.6500747899788807E-2</v>
      </c>
      <c r="O32" s="42"/>
      <c r="P32" s="42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/>
      <c r="AC32"/>
      <c r="AD32"/>
      <c r="AE32"/>
      <c r="AF32"/>
      <c r="AG32"/>
      <c r="AH32"/>
      <c r="AI32"/>
    </row>
    <row r="33" spans="1:35" ht="22.5" customHeight="1">
      <c r="A33" s="14"/>
      <c r="B33" s="62" t="s">
        <v>63</v>
      </c>
      <c r="C33" s="63" t="s">
        <v>25</v>
      </c>
      <c r="D33" s="64">
        <f t="shared" ref="D33:D41" si="12">D7/D$26</f>
        <v>6.962225529011401E-2</v>
      </c>
      <c r="E33" s="64">
        <f t="shared" si="10"/>
        <v>8.9239249235753951E-2</v>
      </c>
      <c r="F33" s="64">
        <f t="shared" ref="F33:F41" si="13">F7/F$26</f>
        <v>9.0371013584088042E-2</v>
      </c>
      <c r="G33" s="64">
        <f t="shared" si="11"/>
        <v>6.6315584951790352E-2</v>
      </c>
      <c r="H33" s="65">
        <f t="shared" ref="H33:I41" si="14">H7/H$26</f>
        <v>6.6879446339810716E-2</v>
      </c>
      <c r="I33" s="65">
        <f t="shared" si="14"/>
        <v>7.1771699313430873E-2</v>
      </c>
      <c r="J33" s="65">
        <f t="shared" ref="J33" si="15">J7/J$26</f>
        <v>7.2577647280661586E-2</v>
      </c>
      <c r="K33" s="66">
        <v>7.2577647280661586E-2</v>
      </c>
      <c r="L33" s="66"/>
      <c r="M33" s="213"/>
      <c r="N33" s="168">
        <f>AVERAGE(D33:G33)</f>
        <v>7.8887025765436589E-2</v>
      </c>
      <c r="O33" s="42"/>
      <c r="P33" s="42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/>
      <c r="AC33"/>
      <c r="AD33"/>
      <c r="AE33"/>
      <c r="AF33"/>
      <c r="AG33"/>
      <c r="AH33"/>
      <c r="AI33"/>
    </row>
    <row r="34" spans="1:35" ht="22.5" customHeight="1">
      <c r="A34" s="14"/>
      <c r="B34" s="67" t="s">
        <v>64</v>
      </c>
      <c r="C34" s="63" t="s">
        <v>25</v>
      </c>
      <c r="D34" s="64">
        <f t="shared" si="12"/>
        <v>1.0725629018919153E-2</v>
      </c>
      <c r="E34" s="64">
        <f t="shared" si="10"/>
        <v>1.0452555716449459E-2</v>
      </c>
      <c r="F34" s="64">
        <f t="shared" si="13"/>
        <v>1.1253722689297103E-2</v>
      </c>
      <c r="G34" s="64">
        <f t="shared" si="11"/>
        <v>1.9484900247997001E-2</v>
      </c>
      <c r="H34" s="65">
        <f t="shared" si="14"/>
        <v>2.4058767344323669E-2</v>
      </c>
      <c r="I34" s="65">
        <f t="shared" si="14"/>
        <v>2.4698940533900721E-2</v>
      </c>
      <c r="J34" s="65">
        <f t="shared" ref="J34" si="16">J8/J$26</f>
        <v>2.338442475015489E-2</v>
      </c>
      <c r="K34" s="66">
        <v>2.338442475015489E-2</v>
      </c>
      <c r="L34" s="66"/>
      <c r="M34" s="213"/>
      <c r="N34" s="168">
        <f t="shared" ref="N34:N41" si="17">AVERAGE(D34:G34)</f>
        <v>1.2979201918165678E-2</v>
      </c>
      <c r="O34" s="42"/>
      <c r="P34" s="42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/>
      <c r="AC34"/>
      <c r="AD34"/>
      <c r="AE34"/>
      <c r="AF34"/>
      <c r="AG34"/>
      <c r="AH34"/>
      <c r="AI34"/>
    </row>
    <row r="35" spans="1:35" ht="22.5" customHeight="1">
      <c r="A35" s="14"/>
      <c r="B35" s="62" t="s">
        <v>65</v>
      </c>
      <c r="C35" s="63" t="s">
        <v>25</v>
      </c>
      <c r="D35" s="64">
        <f t="shared" si="12"/>
        <v>3.3290445948418818E-2</v>
      </c>
      <c r="E35" s="64">
        <f t="shared" si="10"/>
        <v>3.3585215514610828E-2</v>
      </c>
      <c r="F35" s="64">
        <f t="shared" si="13"/>
        <v>3.0440397438262656E-2</v>
      </c>
      <c r="G35" s="64">
        <f t="shared" si="11"/>
        <v>3.5979804031098121E-2</v>
      </c>
      <c r="H35" s="65">
        <f t="shared" si="14"/>
        <v>4.6935042656813059E-2</v>
      </c>
      <c r="I35" s="65">
        <f t="shared" si="14"/>
        <v>3.3165895281756563E-2</v>
      </c>
      <c r="J35" s="65">
        <f t="shared" ref="J35" si="18">J9/J$26</f>
        <v>2.6220941195485278E-2</v>
      </c>
      <c r="K35" s="66">
        <v>2.6220941195485278E-2</v>
      </c>
      <c r="L35" s="66"/>
      <c r="M35" s="213"/>
      <c r="N35" s="168">
        <f t="shared" si="17"/>
        <v>3.3323965733097607E-2</v>
      </c>
      <c r="O35" s="42"/>
      <c r="P35" s="42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/>
      <c r="AC35"/>
      <c r="AD35"/>
      <c r="AE35"/>
      <c r="AF35"/>
      <c r="AG35"/>
      <c r="AH35"/>
      <c r="AI35"/>
    </row>
    <row r="36" spans="1:35" ht="22.5" customHeight="1">
      <c r="A36" s="14"/>
      <c r="B36" s="62" t="s">
        <v>66</v>
      </c>
      <c r="C36" s="63" t="s">
        <v>25</v>
      </c>
      <c r="D36" s="64">
        <f t="shared" si="12"/>
        <v>7.1778445755496512E-4</v>
      </c>
      <c r="E36" s="64">
        <f t="shared" si="10"/>
        <v>1.0000388364596684E-3</v>
      </c>
      <c r="F36" s="64">
        <f t="shared" si="13"/>
        <v>9.2659765271175458E-4</v>
      </c>
      <c r="G36" s="64">
        <f t="shared" si="11"/>
        <v>1.3573720413742111E-3</v>
      </c>
      <c r="H36" s="65">
        <f t="shared" si="14"/>
        <v>2.9525394053290382E-3</v>
      </c>
      <c r="I36" s="65">
        <f t="shared" si="14"/>
        <v>8.2256684726578775E-4</v>
      </c>
      <c r="J36" s="65">
        <f t="shared" ref="J36" si="19">J10/J$26</f>
        <v>7.4347439592705334E-4</v>
      </c>
      <c r="K36" s="66">
        <v>7.4347439592705334E-4</v>
      </c>
      <c r="L36" s="66"/>
      <c r="M36" s="213"/>
      <c r="N36" s="168">
        <f t="shared" si="17"/>
        <v>1.0004482470251498E-3</v>
      </c>
      <c r="O36" s="42"/>
      <c r="P36" s="42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/>
      <c r="AC36"/>
      <c r="AD36"/>
      <c r="AE36"/>
      <c r="AF36"/>
      <c r="AG36"/>
      <c r="AH36"/>
      <c r="AI36"/>
    </row>
    <row r="37" spans="1:35" ht="22.5" customHeight="1">
      <c r="A37" s="14"/>
      <c r="B37" s="62" t="s">
        <v>67</v>
      </c>
      <c r="C37" s="63" t="s">
        <v>25</v>
      </c>
      <c r="D37" s="68">
        <f t="shared" si="12"/>
        <v>2.4555037470902069E-3</v>
      </c>
      <c r="E37" s="68">
        <f t="shared" si="10"/>
        <v>2.326026530850019E-3</v>
      </c>
      <c r="F37" s="68">
        <f t="shared" si="13"/>
        <v>1.3996063347098209E-3</v>
      </c>
      <c r="G37" s="68">
        <f t="shared" si="11"/>
        <v>9.107615585761356E-4</v>
      </c>
      <c r="H37" s="69">
        <f t="shared" si="14"/>
        <v>0</v>
      </c>
      <c r="I37" s="69">
        <f t="shared" si="14"/>
        <v>3.3451051788808706E-4</v>
      </c>
      <c r="J37" s="65">
        <f t="shared" ref="J37" si="20">J11/J$26</f>
        <v>3.426447216011637E-3</v>
      </c>
      <c r="K37" s="66">
        <v>3.426447216011637E-3</v>
      </c>
      <c r="L37" s="66"/>
      <c r="M37" s="213"/>
      <c r="N37" s="168">
        <f t="shared" si="17"/>
        <v>1.7729745428065454E-3</v>
      </c>
      <c r="O37" s="42"/>
      <c r="P37" s="42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/>
      <c r="AC37"/>
      <c r="AD37"/>
      <c r="AE37"/>
      <c r="AF37"/>
      <c r="AG37"/>
      <c r="AH37"/>
      <c r="AI37"/>
    </row>
    <row r="38" spans="1:35" ht="22.5" customHeight="1">
      <c r="A38" s="14"/>
      <c r="B38" s="62" t="s">
        <v>68</v>
      </c>
      <c r="C38" s="63" t="s">
        <v>25</v>
      </c>
      <c r="D38" s="64">
        <f t="shared" si="12"/>
        <v>1.4191137773478007E-2</v>
      </c>
      <c r="E38" s="64">
        <f t="shared" si="10"/>
        <v>1.0642576965540964E-2</v>
      </c>
      <c r="F38" s="64">
        <f t="shared" si="13"/>
        <v>9.8305352765991096E-3</v>
      </c>
      <c r="G38" s="64">
        <f t="shared" si="11"/>
        <v>6.5588324981312521E-3</v>
      </c>
      <c r="H38" s="65">
        <f t="shared" si="14"/>
        <v>4.1365077068659826E-3</v>
      </c>
      <c r="I38" s="65">
        <f t="shared" si="14"/>
        <v>0</v>
      </c>
      <c r="J38" s="65">
        <f t="shared" ref="J38" si="21">J12/J$26</f>
        <v>0</v>
      </c>
      <c r="K38" s="66">
        <v>0</v>
      </c>
      <c r="L38" s="66"/>
      <c r="M38" s="213"/>
      <c r="N38" s="168">
        <f t="shared" si="17"/>
        <v>1.0305770628437334E-2</v>
      </c>
      <c r="O38" s="42"/>
      <c r="P38" s="42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/>
      <c r="AC38"/>
      <c r="AD38"/>
      <c r="AE38"/>
      <c r="AF38"/>
      <c r="AG38"/>
      <c r="AH38"/>
      <c r="AI38"/>
    </row>
    <row r="39" spans="1:35" ht="22.5" customHeight="1">
      <c r="A39" s="14"/>
      <c r="B39" s="62" t="s">
        <v>69</v>
      </c>
      <c r="C39" s="63" t="s">
        <v>25</v>
      </c>
      <c r="D39" s="64">
        <f t="shared" si="12"/>
        <v>3.6841067484505927E-2</v>
      </c>
      <c r="E39" s="64">
        <f t="shared" si="10"/>
        <v>2.4368491425464513E-2</v>
      </c>
      <c r="F39" s="64">
        <f t="shared" si="13"/>
        <v>3.0451494416139445E-2</v>
      </c>
      <c r="G39" s="64">
        <f t="shared" si="11"/>
        <v>2.2746101265891102E-2</v>
      </c>
      <c r="H39" s="65">
        <f t="shared" si="14"/>
        <v>2.7476331705992032E-2</v>
      </c>
      <c r="I39" s="65">
        <f t="shared" si="14"/>
        <v>3.4613612932944349E-2</v>
      </c>
      <c r="J39" s="65">
        <f t="shared" ref="J39" si="22">J13/J$26</f>
        <v>3.6311720496727096E-2</v>
      </c>
      <c r="K39" s="66">
        <v>3.6311720496727096E-2</v>
      </c>
      <c r="L39" s="66"/>
      <c r="M39" s="213"/>
      <c r="N39" s="168">
        <f t="shared" si="17"/>
        <v>2.8601788648000247E-2</v>
      </c>
      <c r="O39" s="42"/>
      <c r="P39" s="42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/>
      <c r="AC39"/>
      <c r="AD39"/>
      <c r="AE39"/>
      <c r="AF39"/>
      <c r="AG39"/>
      <c r="AH39"/>
      <c r="AI39"/>
    </row>
    <row r="40" spans="1:35" ht="22.5" customHeight="1">
      <c r="A40" s="14"/>
      <c r="B40" s="62" t="s">
        <v>70</v>
      </c>
      <c r="C40" s="63" t="s">
        <v>25</v>
      </c>
      <c r="D40" s="64">
        <f t="shared" si="12"/>
        <v>8.685050081779197E-2</v>
      </c>
      <c r="E40" s="64">
        <f t="shared" si="10"/>
        <v>0.11108475779919331</v>
      </c>
      <c r="F40" s="64">
        <f t="shared" si="13"/>
        <v>9.6900197942342878E-2</v>
      </c>
      <c r="G40" s="64">
        <f t="shared" si="11"/>
        <v>7.0998923277446307E-2</v>
      </c>
      <c r="H40" s="65">
        <f t="shared" si="14"/>
        <v>6.1578161837542424E-2</v>
      </c>
      <c r="I40" s="65">
        <f t="shared" si="14"/>
        <v>0.15478514553949418</v>
      </c>
      <c r="J40" s="65">
        <f t="shared" ref="J40" si="23">J14/J$26</f>
        <v>0.10256983541200873</v>
      </c>
      <c r="K40" s="66">
        <v>0.10256983541200873</v>
      </c>
      <c r="L40" s="66"/>
      <c r="M40" s="213"/>
      <c r="N40" s="168">
        <f t="shared" si="17"/>
        <v>9.1458594959193618E-2</v>
      </c>
      <c r="O40" s="42"/>
      <c r="P40" s="42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/>
      <c r="AC40"/>
      <c r="AD40"/>
      <c r="AE40"/>
      <c r="AF40"/>
      <c r="AG40"/>
      <c r="AH40"/>
      <c r="AI40"/>
    </row>
    <row r="41" spans="1:35" ht="22.5" customHeight="1">
      <c r="A41" s="14"/>
      <c r="B41" s="62" t="s">
        <v>71</v>
      </c>
      <c r="C41" s="63" t="s">
        <v>25</v>
      </c>
      <c r="D41" s="64">
        <f t="shared" si="12"/>
        <v>1.9842626466954252E-2</v>
      </c>
      <c r="E41" s="64">
        <f t="shared" si="10"/>
        <v>2.2235260176539449E-2</v>
      </c>
      <c r="F41" s="64">
        <f t="shared" si="13"/>
        <v>2.3411849075552386E-2</v>
      </c>
      <c r="G41" s="64">
        <f t="shared" si="11"/>
        <v>1.1656398673391461E-2</v>
      </c>
      <c r="H41" s="65">
        <f t="shared" si="14"/>
        <v>3.1707320673828546E-2</v>
      </c>
      <c r="I41" s="65">
        <f t="shared" si="14"/>
        <v>3.1970431463730284E-2</v>
      </c>
      <c r="J41" s="65">
        <f t="shared" ref="J41" si="24">J15/J$26</f>
        <v>2.6005441370578888E-2</v>
      </c>
      <c r="K41" s="66">
        <v>2.6005441370578888E-2</v>
      </c>
      <c r="L41" s="66"/>
      <c r="M41" s="214"/>
      <c r="N41" s="168">
        <f t="shared" si="17"/>
        <v>1.9286533598109386E-2</v>
      </c>
      <c r="O41" s="42"/>
      <c r="P41" s="42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/>
      <c r="AC41"/>
      <c r="AD41"/>
      <c r="AE41"/>
      <c r="AF41"/>
      <c r="AG41"/>
      <c r="AH41"/>
      <c r="AI41"/>
    </row>
    <row r="42" spans="1:35" ht="18" customHeight="1">
      <c r="A42" s="14"/>
      <c r="B42" s="202" t="s">
        <v>72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42"/>
      <c r="N42" s="35"/>
      <c r="O42" s="42"/>
      <c r="P42" s="42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/>
      <c r="AC42"/>
      <c r="AD42"/>
      <c r="AE42"/>
      <c r="AF42"/>
      <c r="AG42"/>
      <c r="AH42"/>
      <c r="AI42"/>
    </row>
    <row r="43" spans="1:35" ht="18" customHeight="1">
      <c r="A43" s="14"/>
      <c r="B43" s="204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42"/>
      <c r="N43" s="35"/>
      <c r="O43" s="42"/>
      <c r="P43" s="42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/>
      <c r="AC43"/>
      <c r="AD43"/>
      <c r="AE43"/>
      <c r="AF43"/>
      <c r="AG43"/>
      <c r="AH43"/>
      <c r="AI43"/>
    </row>
    <row r="44" spans="1:35" ht="22.5" customHeight="1">
      <c r="A44" s="14"/>
      <c r="B44" s="62" t="s">
        <v>71</v>
      </c>
      <c r="C44" s="63" t="s">
        <v>25</v>
      </c>
      <c r="D44" s="70">
        <f t="shared" ref="D44:D52" si="25">D17/D$26</f>
        <v>4.2353538634819353E-2</v>
      </c>
      <c r="E44" s="70">
        <f t="shared" ref="E44:G44" si="26">E17/E$26</f>
        <v>3.6213611624307182E-2</v>
      </c>
      <c r="F44" s="70">
        <f t="shared" si="26"/>
        <v>2.6557842303621636E-2</v>
      </c>
      <c r="G44" s="70">
        <f t="shared" si="26"/>
        <v>4.2819286016909132E-2</v>
      </c>
      <c r="H44" s="71">
        <f>H17/H$26</f>
        <v>5.3765742571041789E-2</v>
      </c>
      <c r="I44" s="71">
        <f>I17/I$26</f>
        <v>6.0848011581741211E-2</v>
      </c>
      <c r="J44" s="71">
        <f>J17/J$26</f>
        <v>6.534493440724079E-2</v>
      </c>
      <c r="K44" s="72">
        <v>6.534493440724079E-2</v>
      </c>
      <c r="L44" s="72"/>
      <c r="M44" s="212" t="s">
        <v>88</v>
      </c>
      <c r="N44" s="92">
        <f>AVERAGE(D44:G44)</f>
        <v>3.6986069644914327E-2</v>
      </c>
      <c r="O44" s="42"/>
      <c r="P44" s="42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/>
      <c r="AC44"/>
      <c r="AD44"/>
      <c r="AE44"/>
      <c r="AF44"/>
      <c r="AG44"/>
      <c r="AH44"/>
      <c r="AI44"/>
    </row>
    <row r="45" spans="1:35" ht="22.5" customHeight="1">
      <c r="A45" s="14"/>
      <c r="B45" s="62" t="s">
        <v>65</v>
      </c>
      <c r="C45" s="63" t="s">
        <v>25</v>
      </c>
      <c r="D45" s="70">
        <f t="shared" si="25"/>
        <v>0</v>
      </c>
      <c r="E45" s="70">
        <f t="shared" ref="E45:J45" si="27">E18/E$26</f>
        <v>5.8254689502504952E-5</v>
      </c>
      <c r="F45" s="70">
        <f t="shared" si="27"/>
        <v>9.0454240918163946E-3</v>
      </c>
      <c r="G45" s="70">
        <f t="shared" si="27"/>
        <v>0.12684277422018572</v>
      </c>
      <c r="H45" s="71">
        <f t="shared" si="27"/>
        <v>0.17109522972970978</v>
      </c>
      <c r="I45" s="71">
        <f t="shared" si="27"/>
        <v>0.17458707144267258</v>
      </c>
      <c r="J45" s="71">
        <f t="shared" si="27"/>
        <v>0.17039840530129569</v>
      </c>
      <c r="K45" s="72">
        <v>0.17039840530129569</v>
      </c>
      <c r="L45" s="72"/>
      <c r="M45" s="213"/>
      <c r="N45" s="92">
        <f t="shared" ref="N45:N52" si="28">AVERAGE(D45:G45)</f>
        <v>3.3986613250376156E-2</v>
      </c>
      <c r="O45" s="42"/>
      <c r="P45" s="4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/>
      <c r="AC45"/>
      <c r="AD45"/>
      <c r="AE45"/>
      <c r="AF45"/>
      <c r="AG45"/>
      <c r="AH45"/>
      <c r="AI45"/>
    </row>
    <row r="46" spans="1:35" ht="22.5" customHeight="1">
      <c r="A46" s="14"/>
      <c r="B46" s="67" t="s">
        <v>64</v>
      </c>
      <c r="C46" s="73" t="s">
        <v>25</v>
      </c>
      <c r="D46" s="70">
        <f t="shared" si="25"/>
        <v>3.6811278010971038E-3</v>
      </c>
      <c r="E46" s="70">
        <f t="shared" ref="E46:J46" si="29">E19/E$26</f>
        <v>0</v>
      </c>
      <c r="F46" s="70">
        <f t="shared" si="29"/>
        <v>0</v>
      </c>
      <c r="G46" s="70">
        <f t="shared" si="29"/>
        <v>0</v>
      </c>
      <c r="H46" s="71">
        <f t="shared" si="29"/>
        <v>0</v>
      </c>
      <c r="I46" s="71">
        <f t="shared" si="29"/>
        <v>0</v>
      </c>
      <c r="J46" s="71">
        <f t="shared" si="29"/>
        <v>0</v>
      </c>
      <c r="K46" s="72">
        <v>0</v>
      </c>
      <c r="L46" s="72"/>
      <c r="M46" s="213"/>
      <c r="N46" s="92">
        <f t="shared" si="28"/>
        <v>9.2028195027427594E-4</v>
      </c>
      <c r="O46" s="42"/>
      <c r="P46" s="42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/>
      <c r="AC46"/>
      <c r="AD46"/>
      <c r="AE46"/>
      <c r="AF46"/>
      <c r="AG46"/>
      <c r="AH46"/>
      <c r="AI46"/>
    </row>
    <row r="47" spans="1:35" ht="22.5" customHeight="1">
      <c r="A47" s="14"/>
      <c r="B47" s="62" t="s">
        <v>70</v>
      </c>
      <c r="C47" s="63" t="s">
        <v>25</v>
      </c>
      <c r="D47" s="70">
        <f t="shared" si="25"/>
        <v>0.31013395333266192</v>
      </c>
      <c r="E47" s="70">
        <f t="shared" ref="E47:J50" si="30">E20/E$26</f>
        <v>0.2776057877421037</v>
      </c>
      <c r="F47" s="70">
        <f t="shared" si="30"/>
        <v>0.25882452487595659</v>
      </c>
      <c r="G47" s="70">
        <f t="shared" si="30"/>
        <v>0.19494075327401914</v>
      </c>
      <c r="H47" s="71">
        <f t="shared" si="30"/>
        <v>9.8523287416424687E-2</v>
      </c>
      <c r="I47" s="71">
        <f t="shared" si="30"/>
        <v>6.8574656167057838E-2</v>
      </c>
      <c r="J47" s="71">
        <f t="shared" si="30"/>
        <v>0.13160574307033376</v>
      </c>
      <c r="K47" s="72">
        <v>0.13160574307033376</v>
      </c>
      <c r="L47" s="72"/>
      <c r="M47" s="213"/>
      <c r="N47" s="92">
        <f t="shared" si="28"/>
        <v>0.26037625480618531</v>
      </c>
      <c r="O47" s="42"/>
      <c r="P47" s="42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/>
      <c r="AC47"/>
      <c r="AD47"/>
      <c r="AE47"/>
      <c r="AF47"/>
      <c r="AG47"/>
      <c r="AH47"/>
      <c r="AI47"/>
    </row>
    <row r="48" spans="1:35" ht="22.5" customHeight="1">
      <c r="A48" s="14"/>
      <c r="B48" s="62" t="s">
        <v>63</v>
      </c>
      <c r="C48" s="63" t="s">
        <v>25</v>
      </c>
      <c r="D48" s="70">
        <f t="shared" si="25"/>
        <v>7.9580450728920045E-4</v>
      </c>
      <c r="E48" s="70">
        <f t="shared" si="30"/>
        <v>8.9462558878846885E-4</v>
      </c>
      <c r="F48" s="70">
        <f t="shared" si="30"/>
        <v>7.5320737338695025E-4</v>
      </c>
      <c r="G48" s="70">
        <f t="shared" si="30"/>
        <v>1.6731027150139379E-4</v>
      </c>
      <c r="H48" s="71">
        <f t="shared" si="30"/>
        <v>0</v>
      </c>
      <c r="I48" s="71">
        <f t="shared" si="30"/>
        <v>2.1386738028910481E-3</v>
      </c>
      <c r="J48" s="71">
        <f t="shared" si="30"/>
        <v>1.4923362874767665E-3</v>
      </c>
      <c r="K48" s="72">
        <v>1.4923362874767665E-3</v>
      </c>
      <c r="L48" s="72"/>
      <c r="M48" s="213"/>
      <c r="N48" s="92">
        <f t="shared" si="28"/>
        <v>6.5273693524150339E-4</v>
      </c>
      <c r="O48" s="42"/>
      <c r="P48" s="4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/>
      <c r="AC48"/>
      <c r="AD48"/>
      <c r="AE48"/>
      <c r="AF48"/>
      <c r="AG48"/>
      <c r="AH48"/>
      <c r="AI48"/>
    </row>
    <row r="49" spans="1:35" ht="22.5" customHeight="1">
      <c r="A49" s="14"/>
      <c r="B49" s="62" t="s">
        <v>62</v>
      </c>
      <c r="C49" s="63" t="s">
        <v>25</v>
      </c>
      <c r="D49" s="70">
        <f t="shared" si="25"/>
        <v>2.626013019418481E-2</v>
      </c>
      <c r="E49" s="70">
        <f t="shared" si="30"/>
        <v>1.4583090605460406E-2</v>
      </c>
      <c r="F49" s="70">
        <f t="shared" si="30"/>
        <v>1.5965776920227989E-2</v>
      </c>
      <c r="G49" s="70">
        <f t="shared" si="30"/>
        <v>6.8907544883678885E-3</v>
      </c>
      <c r="H49" s="71">
        <f t="shared" si="30"/>
        <v>2.2710933105790962E-2</v>
      </c>
      <c r="I49" s="71">
        <f t="shared" si="30"/>
        <v>9.8653183882076809E-3</v>
      </c>
      <c r="J49" s="71">
        <f t="shared" si="30"/>
        <v>8.4017994235379683E-3</v>
      </c>
      <c r="K49" s="72">
        <v>8.4017994235379683E-3</v>
      </c>
      <c r="L49" s="72"/>
      <c r="M49" s="213"/>
      <c r="N49" s="92">
        <f t="shared" si="28"/>
        <v>1.5924938052060272E-2</v>
      </c>
      <c r="O49" s="42"/>
      <c r="P49" s="42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/>
      <c r="AC49"/>
      <c r="AD49"/>
      <c r="AE49"/>
      <c r="AF49"/>
      <c r="AG49"/>
      <c r="AH49"/>
      <c r="AI49"/>
    </row>
    <row r="50" spans="1:35" ht="22.5" customHeight="1">
      <c r="A50" s="14"/>
      <c r="B50" s="62" t="s">
        <v>68</v>
      </c>
      <c r="C50" s="63" t="s">
        <v>25</v>
      </c>
      <c r="D50" s="70">
        <f t="shared" si="25"/>
        <v>1.3561303190168907E-2</v>
      </c>
      <c r="E50" s="70">
        <f t="shared" si="30"/>
        <v>2.0128382239532186E-2</v>
      </c>
      <c r="F50" s="70">
        <f t="shared" si="30"/>
        <v>2.8789721979090518E-2</v>
      </c>
      <c r="G50" s="70">
        <f t="shared" si="30"/>
        <v>2.5779274575045402E-2</v>
      </c>
      <c r="H50" s="71">
        <f t="shared" si="30"/>
        <v>8.2715391440293003E-3</v>
      </c>
      <c r="I50" s="71">
        <f t="shared" si="30"/>
        <v>0</v>
      </c>
      <c r="J50" s="71">
        <f t="shared" si="30"/>
        <v>0</v>
      </c>
      <c r="K50" s="72">
        <v>0</v>
      </c>
      <c r="L50" s="72"/>
      <c r="M50" s="213"/>
      <c r="N50" s="92">
        <f t="shared" si="28"/>
        <v>2.2064670495959254E-2</v>
      </c>
      <c r="O50" s="42"/>
      <c r="P50" s="42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/>
      <c r="AC50"/>
      <c r="AD50"/>
      <c r="AE50"/>
      <c r="AF50"/>
      <c r="AG50"/>
      <c r="AH50"/>
      <c r="AI50"/>
    </row>
    <row r="51" spans="1:35" ht="22.5" customHeight="1">
      <c r="A51" s="14"/>
      <c r="B51" s="62" t="s">
        <v>69</v>
      </c>
      <c r="C51" s="63"/>
      <c r="D51" s="70">
        <f t="shared" si="25"/>
        <v>0.25998692100257181</v>
      </c>
      <c r="E51" s="70">
        <f t="shared" ref="E51:J51" si="31">E24/E$26</f>
        <v>0.27510915819199638</v>
      </c>
      <c r="F51" s="70">
        <f t="shared" si="31"/>
        <v>0.27678775781400633</v>
      </c>
      <c r="G51" s="70">
        <f t="shared" si="31"/>
        <v>0.28358821164209636</v>
      </c>
      <c r="H51" s="71">
        <f t="shared" si="31"/>
        <v>0.25690340619708496</v>
      </c>
      <c r="I51" s="71">
        <f t="shared" si="31"/>
        <v>0.26921516155212882</v>
      </c>
      <c r="J51" s="71">
        <f t="shared" si="31"/>
        <v>0.27599062575761657</v>
      </c>
      <c r="K51" s="72">
        <v>0.27599062575761657</v>
      </c>
      <c r="L51" s="72"/>
      <c r="M51" s="213"/>
      <c r="N51" s="92">
        <f t="shared" si="28"/>
        <v>0.27386801216266776</v>
      </c>
      <c r="O51" s="42"/>
      <c r="P51" s="4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/>
      <c r="AC51"/>
      <c r="AD51"/>
      <c r="AE51"/>
      <c r="AF51"/>
      <c r="AG51"/>
      <c r="AH51"/>
      <c r="AI51"/>
    </row>
    <row r="52" spans="1:35" ht="22.5" customHeight="1">
      <c r="A52" s="14"/>
      <c r="B52" s="62" t="s">
        <v>73</v>
      </c>
      <c r="C52" s="63" t="s">
        <v>25</v>
      </c>
      <c r="D52" s="70">
        <f t="shared" si="25"/>
        <v>0</v>
      </c>
      <c r="E52" s="70">
        <f t="shared" ref="E52:J52" si="32">E25/E$26</f>
        <v>0</v>
      </c>
      <c r="F52" s="70">
        <f t="shared" si="32"/>
        <v>0</v>
      </c>
      <c r="G52" s="70">
        <f t="shared" si="32"/>
        <v>4.4134830490407994E-3</v>
      </c>
      <c r="H52" s="71">
        <f t="shared" si="32"/>
        <v>0</v>
      </c>
      <c r="I52" s="71">
        <f t="shared" si="32"/>
        <v>0</v>
      </c>
      <c r="J52" s="71">
        <f t="shared" si="32"/>
        <v>0</v>
      </c>
      <c r="K52" s="72">
        <v>0</v>
      </c>
      <c r="L52" s="72"/>
      <c r="M52" s="214"/>
      <c r="N52" s="92">
        <f t="shared" si="28"/>
        <v>1.1033707622601998E-3</v>
      </c>
      <c r="O52" s="42"/>
      <c r="P52" s="4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/>
      <c r="AC52"/>
      <c r="AD52"/>
      <c r="AE52"/>
      <c r="AF52"/>
      <c r="AG52"/>
      <c r="AH52"/>
      <c r="AI52"/>
    </row>
    <row r="53" spans="1:35" ht="22.5">
      <c r="A53" s="14"/>
      <c r="B53" s="74"/>
      <c r="C53" s="75"/>
      <c r="D53" s="76"/>
      <c r="E53" s="76"/>
      <c r="F53" s="76"/>
      <c r="G53" s="76"/>
      <c r="H53" s="77"/>
      <c r="I53" s="77"/>
      <c r="J53" s="77"/>
      <c r="K53" s="77"/>
      <c r="L53" s="77"/>
      <c r="M53" s="42"/>
      <c r="N53" s="35"/>
      <c r="O53" s="42"/>
      <c r="P53" s="4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/>
      <c r="AC53"/>
      <c r="AD53"/>
      <c r="AE53"/>
      <c r="AF53"/>
      <c r="AG53"/>
      <c r="AH53"/>
      <c r="AI53"/>
    </row>
    <row r="54" spans="1:35" ht="20.25" customHeight="1" thickBot="1">
      <c r="A54" s="14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35"/>
      <c r="N54" s="207"/>
      <c r="O54" s="207"/>
      <c r="P54" s="207"/>
      <c r="AB54" s="14"/>
    </row>
    <row r="55" spans="1:35" ht="41.25" customHeight="1">
      <c r="A55" s="14"/>
      <c r="B55" s="196" t="s">
        <v>58</v>
      </c>
      <c r="C55" s="197"/>
      <c r="D55" s="197"/>
      <c r="E55" s="197"/>
      <c r="F55" s="197"/>
      <c r="G55" s="197"/>
      <c r="H55" s="198"/>
      <c r="I55" s="198"/>
      <c r="J55" s="198"/>
      <c r="K55" s="198"/>
      <c r="L55" s="199"/>
      <c r="M55" s="79"/>
      <c r="N55" s="207"/>
      <c r="O55" s="207"/>
      <c r="P55" s="207"/>
      <c r="AB55" s="14"/>
    </row>
    <row r="56" spans="1:35" ht="30.75" customHeight="1">
      <c r="A56" s="14"/>
      <c r="B56" s="43" t="s">
        <v>0</v>
      </c>
      <c r="C56" s="80" t="s">
        <v>23</v>
      </c>
      <c r="D56" s="80">
        <v>1399</v>
      </c>
      <c r="E56" s="80">
        <v>1400</v>
      </c>
      <c r="F56" s="80">
        <v>1401</v>
      </c>
      <c r="G56" s="80">
        <v>1402</v>
      </c>
      <c r="H56" s="38" t="s">
        <v>74</v>
      </c>
      <c r="I56" s="38" t="s">
        <v>81</v>
      </c>
      <c r="J56" s="38" t="s">
        <v>87</v>
      </c>
      <c r="K56" s="170" t="s">
        <v>108</v>
      </c>
      <c r="L56" s="39" t="s">
        <v>75</v>
      </c>
      <c r="M56" s="81"/>
      <c r="N56" s="207"/>
      <c r="O56" s="207"/>
      <c r="P56" s="207"/>
    </row>
    <row r="57" spans="1:35" ht="27" customHeight="1">
      <c r="A57" s="14"/>
      <c r="B57" s="200" t="s">
        <v>24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79"/>
      <c r="N57" s="207"/>
      <c r="O57" s="207"/>
      <c r="P57" s="207"/>
    </row>
    <row r="58" spans="1:35" ht="23.25" thickBot="1">
      <c r="A58" s="14"/>
      <c r="B58" s="43" t="s">
        <v>62</v>
      </c>
      <c r="C58" s="63" t="s">
        <v>25</v>
      </c>
      <c r="D58" s="51">
        <v>49173</v>
      </c>
      <c r="E58" s="51">
        <v>51840</v>
      </c>
      <c r="F58" s="51">
        <v>61589</v>
      </c>
      <c r="G58" s="51">
        <v>59948</v>
      </c>
      <c r="H58" s="52">
        <v>81240</v>
      </c>
      <c r="I58" s="52">
        <v>11937</v>
      </c>
      <c r="J58" s="52">
        <v>21425</v>
      </c>
      <c r="K58" s="53">
        <f>K84*$K$78</f>
        <v>25763.807672569026</v>
      </c>
      <c r="L58" s="47">
        <f>K58+J58</f>
        <v>47188.807672569026</v>
      </c>
      <c r="M58" s="79"/>
      <c r="N58" s="207"/>
      <c r="O58" s="207"/>
      <c r="P58" s="207"/>
    </row>
    <row r="59" spans="1:35" ht="23.25" thickBot="1">
      <c r="A59" s="14"/>
      <c r="B59" s="43" t="s">
        <v>63</v>
      </c>
      <c r="C59" s="63" t="s">
        <v>25</v>
      </c>
      <c r="D59" s="51">
        <v>47799</v>
      </c>
      <c r="E59" s="51">
        <v>66577</v>
      </c>
      <c r="F59" s="51">
        <v>61832</v>
      </c>
      <c r="G59" s="51">
        <v>52832</v>
      </c>
      <c r="H59" s="52">
        <v>44171</v>
      </c>
      <c r="I59" s="52">
        <v>11142</v>
      </c>
      <c r="J59" s="52">
        <v>25871</v>
      </c>
      <c r="K59" s="53">
        <f t="shared" ref="K59:K66" si="33">K85*$K$78</f>
        <v>31110.173549453124</v>
      </c>
      <c r="L59" s="47">
        <f t="shared" ref="L59:L67" si="34">K59+J59</f>
        <v>56981.173549453124</v>
      </c>
      <c r="M59" s="79"/>
      <c r="N59" s="207"/>
      <c r="O59" s="207"/>
      <c r="P59" s="207"/>
    </row>
    <row r="60" spans="1:35" ht="23.25" thickBot="1">
      <c r="A60" s="14"/>
      <c r="B60" s="80" t="s">
        <v>64</v>
      </c>
      <c r="C60" s="63" t="s">
        <v>25</v>
      </c>
      <c r="D60" s="51">
        <v>9714</v>
      </c>
      <c r="E60" s="51">
        <v>24842</v>
      </c>
      <c r="F60" s="51">
        <v>9056</v>
      </c>
      <c r="G60" s="51">
        <v>13980</v>
      </c>
      <c r="H60" s="52">
        <v>15890</v>
      </c>
      <c r="I60" s="52">
        <v>4503</v>
      </c>
      <c r="J60" s="52">
        <v>8700</v>
      </c>
      <c r="K60" s="53">
        <f t="shared" si="33"/>
        <v>10461.849556655799</v>
      </c>
      <c r="L60" s="47">
        <f t="shared" si="34"/>
        <v>19161.849556655798</v>
      </c>
      <c r="M60" s="79"/>
      <c r="N60" s="207"/>
      <c r="O60" s="207"/>
      <c r="P60" s="207"/>
    </row>
    <row r="61" spans="1:35" ht="23.25" thickBot="1">
      <c r="A61" s="14"/>
      <c r="B61" s="43" t="s">
        <v>65</v>
      </c>
      <c r="C61" s="63" t="s">
        <v>25</v>
      </c>
      <c r="D61" s="51">
        <v>22818</v>
      </c>
      <c r="E61" s="51">
        <v>8151</v>
      </c>
      <c r="F61" s="51">
        <v>21669</v>
      </c>
      <c r="G61" s="51">
        <v>26593</v>
      </c>
      <c r="H61" s="52">
        <v>30998</v>
      </c>
      <c r="I61" s="52">
        <v>6108</v>
      </c>
      <c r="J61" s="52">
        <v>9589</v>
      </c>
      <c r="K61" s="53">
        <f t="shared" si="33"/>
        <v>11530.88222974396</v>
      </c>
      <c r="L61" s="47">
        <f t="shared" si="34"/>
        <v>21119.882229743962</v>
      </c>
      <c r="M61" s="79"/>
      <c r="N61" s="207"/>
      <c r="O61" s="207"/>
      <c r="P61" s="207"/>
    </row>
    <row r="62" spans="1:35" ht="23.25" thickBot="1">
      <c r="A62" s="14"/>
      <c r="B62" s="43" t="s">
        <v>66</v>
      </c>
      <c r="C62" s="63" t="s">
        <v>25</v>
      </c>
      <c r="D62" s="51">
        <v>658</v>
      </c>
      <c r="E62" s="51">
        <v>721</v>
      </c>
      <c r="F62" s="51">
        <v>568</v>
      </c>
      <c r="G62" s="51">
        <v>1022</v>
      </c>
      <c r="H62" s="52">
        <v>2000</v>
      </c>
      <c r="I62" s="52">
        <v>210</v>
      </c>
      <c r="J62" s="52">
        <v>366</v>
      </c>
      <c r="K62" s="53">
        <f t="shared" si="33"/>
        <v>440.11918824551987</v>
      </c>
      <c r="L62" s="47">
        <f t="shared" si="34"/>
        <v>806.11918824551981</v>
      </c>
      <c r="M62" s="79"/>
      <c r="N62" s="207"/>
      <c r="O62" s="207"/>
      <c r="P62" s="207"/>
    </row>
    <row r="63" spans="1:35" ht="23.25" thickBot="1">
      <c r="A63" s="14"/>
      <c r="B63" s="43" t="s">
        <v>67</v>
      </c>
      <c r="C63" s="63" t="s">
        <v>25</v>
      </c>
      <c r="D63" s="51">
        <v>1807</v>
      </c>
      <c r="E63" s="51">
        <v>1697</v>
      </c>
      <c r="F63" s="51">
        <v>1116</v>
      </c>
      <c r="G63" s="51">
        <v>705</v>
      </c>
      <c r="H63" s="52">
        <v>0</v>
      </c>
      <c r="I63" s="52">
        <v>47</v>
      </c>
      <c r="J63" s="52">
        <v>1172</v>
      </c>
      <c r="K63" s="53">
        <f t="shared" si="33"/>
        <v>1409.3434115402986</v>
      </c>
      <c r="L63" s="47">
        <f t="shared" si="34"/>
        <v>2581.3434115402988</v>
      </c>
      <c r="M63" s="79"/>
      <c r="N63" s="207"/>
      <c r="O63" s="207"/>
      <c r="P63" s="207"/>
    </row>
    <row r="64" spans="1:35" ht="23.25" thickBot="1">
      <c r="A64" s="14"/>
      <c r="B64" s="43" t="s">
        <v>68</v>
      </c>
      <c r="C64" s="63" t="s">
        <v>25</v>
      </c>
      <c r="D64" s="51">
        <v>9996</v>
      </c>
      <c r="E64" s="51">
        <v>7477</v>
      </c>
      <c r="F64" s="51">
        <v>4888</v>
      </c>
      <c r="G64" s="51">
        <v>5565</v>
      </c>
      <c r="H64" s="52">
        <v>3000</v>
      </c>
      <c r="I64" s="52">
        <v>6332</v>
      </c>
      <c r="J64" s="52">
        <v>273</v>
      </c>
      <c r="K64" s="53">
        <f t="shared" si="33"/>
        <v>328.28562401919919</v>
      </c>
      <c r="L64" s="47">
        <f t="shared" si="34"/>
        <v>601.28562401919919</v>
      </c>
      <c r="M64" s="79"/>
      <c r="N64" s="207"/>
      <c r="O64" s="207"/>
      <c r="P64" s="207"/>
    </row>
    <row r="65" spans="1:16" ht="23.25" thickBot="1">
      <c r="A65" s="14"/>
      <c r="B65" s="43" t="s">
        <v>69</v>
      </c>
      <c r="C65" s="63" t="s">
        <v>25</v>
      </c>
      <c r="D65" s="51">
        <v>25302</v>
      </c>
      <c r="E65" s="51">
        <v>17268</v>
      </c>
      <c r="F65" s="51">
        <v>23643</v>
      </c>
      <c r="G65" s="51">
        <v>16494</v>
      </c>
      <c r="H65" s="52">
        <v>20000</v>
      </c>
      <c r="I65" s="52">
        <v>273</v>
      </c>
      <c r="J65" s="52">
        <v>12160</v>
      </c>
      <c r="K65" s="53">
        <f t="shared" si="33"/>
        <v>14622.539150452243</v>
      </c>
      <c r="L65" s="47">
        <f t="shared" si="34"/>
        <v>26782.539150452241</v>
      </c>
      <c r="M65" s="79"/>
      <c r="N65" s="207"/>
      <c r="O65" s="207"/>
      <c r="P65" s="207"/>
    </row>
    <row r="66" spans="1:16" ht="19.5" customHeight="1" thickBot="1">
      <c r="A66" s="14"/>
      <c r="B66" s="43" t="s">
        <v>70</v>
      </c>
      <c r="C66" s="63" t="s">
        <v>25</v>
      </c>
      <c r="D66" s="51">
        <v>60703</v>
      </c>
      <c r="E66" s="51">
        <v>77494</v>
      </c>
      <c r="F66" s="51">
        <v>71406</v>
      </c>
      <c r="G66" s="51">
        <v>54064</v>
      </c>
      <c r="H66" s="52">
        <v>50000</v>
      </c>
      <c r="I66" s="52">
        <v>13625</v>
      </c>
      <c r="J66" s="52">
        <v>30388</v>
      </c>
      <c r="K66" s="53">
        <f t="shared" si="33"/>
        <v>36541.917738811084</v>
      </c>
      <c r="L66" s="47">
        <f t="shared" si="34"/>
        <v>66929.917738811084</v>
      </c>
      <c r="M66" s="61"/>
      <c r="N66" s="207"/>
      <c r="O66" s="207"/>
      <c r="P66" s="207"/>
    </row>
    <row r="67" spans="1:16" ht="23.25" thickBot="1">
      <c r="A67" s="14"/>
      <c r="B67" s="43" t="s">
        <v>71</v>
      </c>
      <c r="C67" s="63" t="s">
        <v>25</v>
      </c>
      <c r="D67" s="51">
        <v>14321</v>
      </c>
      <c r="E67" s="51">
        <v>15344</v>
      </c>
      <c r="F67" s="51">
        <v>17817</v>
      </c>
      <c r="G67" s="51">
        <v>7220</v>
      </c>
      <c r="H67" s="52">
        <v>23000</v>
      </c>
      <c r="I67" s="52">
        <v>4411</v>
      </c>
      <c r="J67" s="52">
        <v>7133</v>
      </c>
      <c r="K67" s="53">
        <f>K93*$K$78</f>
        <v>8577.5141250144625</v>
      </c>
      <c r="L67" s="47">
        <f t="shared" si="34"/>
        <v>15710.514125014462</v>
      </c>
      <c r="M67" s="35"/>
      <c r="N67" s="207"/>
      <c r="O67" s="207"/>
      <c r="P67" s="207"/>
    </row>
    <row r="68" spans="1:16" ht="30" customHeight="1">
      <c r="A68" s="14"/>
      <c r="B68" s="202" t="s">
        <v>26</v>
      </c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35"/>
      <c r="N68" s="207"/>
      <c r="O68" s="207"/>
      <c r="P68" s="207"/>
    </row>
    <row r="69" spans="1:16" ht="23.25" thickBot="1">
      <c r="A69" s="14"/>
      <c r="B69" s="43" t="s">
        <v>71</v>
      </c>
      <c r="C69" s="63" t="s">
        <v>25</v>
      </c>
      <c r="D69" s="51">
        <v>30569</v>
      </c>
      <c r="E69" s="51">
        <v>24991</v>
      </c>
      <c r="F69" s="51">
        <v>20212</v>
      </c>
      <c r="G69" s="51">
        <v>26523</v>
      </c>
      <c r="H69" s="52">
        <v>39000</v>
      </c>
      <c r="I69" s="52">
        <v>9296</v>
      </c>
      <c r="J69" s="52">
        <v>19047</v>
      </c>
      <c r="K69" s="53">
        <f>K96*$K$78</f>
        <v>22904.235460416439</v>
      </c>
      <c r="L69" s="53">
        <f>K69+J69</f>
        <v>41951.235460416443</v>
      </c>
      <c r="M69" s="82"/>
      <c r="N69" s="207"/>
      <c r="O69" s="207"/>
      <c r="P69" s="207"/>
    </row>
    <row r="70" spans="1:16" ht="23.25" thickBot="1">
      <c r="A70" s="14"/>
      <c r="B70" s="43" t="s">
        <v>65</v>
      </c>
      <c r="C70" s="63" t="s">
        <v>25</v>
      </c>
      <c r="D70" s="51">
        <v>0</v>
      </c>
      <c r="E70" s="51">
        <v>43</v>
      </c>
      <c r="F70" s="51">
        <v>6424</v>
      </c>
      <c r="G70" s="51">
        <v>93750</v>
      </c>
      <c r="H70" s="52">
        <v>113000</v>
      </c>
      <c r="I70" s="52">
        <v>32155</v>
      </c>
      <c r="J70" s="52">
        <v>62318</v>
      </c>
      <c r="K70" s="53">
        <f t="shared" ref="K70:K77" si="35">K97*$K$78</f>
        <v>74938.108123181155</v>
      </c>
      <c r="L70" s="53">
        <f t="shared" ref="L70:L77" si="36">K70+J70</f>
        <v>137256.10812318115</v>
      </c>
      <c r="M70" s="82"/>
      <c r="N70" s="78"/>
      <c r="O70" s="78"/>
      <c r="P70" s="78"/>
    </row>
    <row r="71" spans="1:16" ht="23.25" thickBot="1">
      <c r="A71" s="14"/>
      <c r="B71" s="80" t="s">
        <v>64</v>
      </c>
      <c r="C71" s="63" t="s">
        <v>25</v>
      </c>
      <c r="D71" s="51">
        <v>201</v>
      </c>
      <c r="E71" s="51"/>
      <c r="F71" s="51"/>
      <c r="G71" s="51"/>
      <c r="H71" s="52">
        <v>0</v>
      </c>
      <c r="I71" s="52">
        <v>0</v>
      </c>
      <c r="J71" s="52"/>
      <c r="K71" s="53">
        <f t="shared" si="35"/>
        <v>0</v>
      </c>
      <c r="L71" s="53">
        <f t="shared" si="36"/>
        <v>0</v>
      </c>
      <c r="M71" s="82"/>
      <c r="N71" s="78"/>
      <c r="O71" s="78"/>
      <c r="P71" s="78"/>
    </row>
    <row r="72" spans="1:16" ht="23.25" thickBot="1">
      <c r="A72" s="14"/>
      <c r="B72" s="43" t="s">
        <v>70</v>
      </c>
      <c r="C72" s="63" t="s">
        <v>25</v>
      </c>
      <c r="D72" s="51">
        <v>219061</v>
      </c>
      <c r="E72" s="51">
        <v>190880</v>
      </c>
      <c r="F72" s="51">
        <v>190727</v>
      </c>
      <c r="G72" s="51">
        <v>148443</v>
      </c>
      <c r="H72" s="52">
        <v>80000</v>
      </c>
      <c r="I72" s="52">
        <v>6037</v>
      </c>
      <c r="J72" s="52">
        <v>38990</v>
      </c>
      <c r="K72" s="53">
        <f t="shared" si="35"/>
        <v>46885.921174024093</v>
      </c>
      <c r="L72" s="53">
        <f t="shared" si="36"/>
        <v>85875.921174024086</v>
      </c>
      <c r="M72" s="82"/>
      <c r="N72" s="78"/>
      <c r="O72" s="78"/>
      <c r="P72" s="78"/>
    </row>
    <row r="73" spans="1:16" ht="23.25" thickBot="1">
      <c r="A73" s="14"/>
      <c r="B73" s="43" t="s">
        <v>63</v>
      </c>
      <c r="C73" s="63" t="s">
        <v>25</v>
      </c>
      <c r="D73" s="51">
        <v>547</v>
      </c>
      <c r="E73" s="51">
        <v>668</v>
      </c>
      <c r="F73" s="51">
        <v>521</v>
      </c>
      <c r="G73" s="51">
        <v>134</v>
      </c>
      <c r="H73" s="52">
        <v>0</v>
      </c>
      <c r="I73" s="52">
        <v>332</v>
      </c>
      <c r="J73" s="52">
        <v>532</v>
      </c>
      <c r="K73" s="53">
        <f t="shared" si="35"/>
        <v>639.73608783228565</v>
      </c>
      <c r="L73" s="53">
        <f t="shared" si="36"/>
        <v>1171.7360878322856</v>
      </c>
      <c r="M73" s="82"/>
      <c r="N73" s="78"/>
      <c r="O73" s="78"/>
      <c r="P73" s="78"/>
    </row>
    <row r="74" spans="1:16" ht="23.25" thickBot="1">
      <c r="A74" s="14"/>
      <c r="B74" s="43" t="s">
        <v>62</v>
      </c>
      <c r="C74" s="63" t="s">
        <v>25</v>
      </c>
      <c r="D74" s="51">
        <v>18778</v>
      </c>
      <c r="E74" s="51">
        <v>10727</v>
      </c>
      <c r="F74" s="51">
        <v>11137</v>
      </c>
      <c r="G74" s="51">
        <v>5259</v>
      </c>
      <c r="H74" s="52">
        <v>15000</v>
      </c>
      <c r="I74" s="52">
        <v>1881</v>
      </c>
      <c r="J74" s="52">
        <v>3242</v>
      </c>
      <c r="K74" s="53">
        <f t="shared" si="35"/>
        <v>3898.5420991584024</v>
      </c>
      <c r="L74" s="53">
        <f t="shared" si="36"/>
        <v>7140.5420991584024</v>
      </c>
      <c r="M74" s="82"/>
      <c r="N74" s="35"/>
      <c r="O74" s="35"/>
      <c r="P74" s="35"/>
    </row>
    <row r="75" spans="1:16" ht="21.75" customHeight="1" thickBot="1">
      <c r="A75" s="14"/>
      <c r="B75" s="43" t="s">
        <v>68</v>
      </c>
      <c r="C75" s="63" t="s">
        <v>25</v>
      </c>
      <c r="D75" s="51">
        <v>9552</v>
      </c>
      <c r="E75" s="51">
        <v>14142</v>
      </c>
      <c r="F75" s="51">
        <v>14315</v>
      </c>
      <c r="G75" s="51">
        <v>21871</v>
      </c>
      <c r="H75" s="52">
        <v>6000</v>
      </c>
      <c r="I75" s="52">
        <v>1795</v>
      </c>
      <c r="J75" s="52">
        <v>3464</v>
      </c>
      <c r="K75" s="53">
        <f t="shared" si="35"/>
        <v>4165.4996395696198</v>
      </c>
      <c r="L75" s="53">
        <f t="shared" si="36"/>
        <v>7629.4996395696198</v>
      </c>
      <c r="M75" s="82"/>
      <c r="N75" s="83"/>
      <c r="O75" s="83"/>
      <c r="P75" s="83"/>
    </row>
    <row r="76" spans="1:16" ht="21.75" customHeight="1" thickBot="1">
      <c r="A76" s="14"/>
      <c r="B76" s="43" t="s">
        <v>69</v>
      </c>
      <c r="C76" s="63" t="s">
        <v>25</v>
      </c>
      <c r="D76" s="51">
        <v>181636</v>
      </c>
      <c r="E76" s="51">
        <v>190400</v>
      </c>
      <c r="F76" s="51">
        <v>214902</v>
      </c>
      <c r="G76" s="51">
        <v>205633</v>
      </c>
      <c r="H76" s="52">
        <v>187000</v>
      </c>
      <c r="I76" s="52">
        <v>49255</v>
      </c>
      <c r="J76" s="52">
        <v>92427</v>
      </c>
      <c r="K76" s="53">
        <f>K103*$K$78</f>
        <v>111144.52516931329</v>
      </c>
      <c r="L76" s="53">
        <f t="shared" si="36"/>
        <v>203571.5251693133</v>
      </c>
      <c r="M76" s="82"/>
      <c r="N76" s="83"/>
      <c r="O76" s="83"/>
      <c r="P76" s="83"/>
    </row>
    <row r="77" spans="1:16" ht="21.75" customHeight="1" thickBot="1">
      <c r="A77" s="14"/>
      <c r="B77" s="55" t="s">
        <v>73</v>
      </c>
      <c r="C77" s="84" t="s">
        <v>25</v>
      </c>
      <c r="D77" s="85">
        <v>0</v>
      </c>
      <c r="E77" s="85">
        <v>0</v>
      </c>
      <c r="F77" s="85">
        <v>0</v>
      </c>
      <c r="G77" s="85">
        <v>3371</v>
      </c>
      <c r="H77" s="86">
        <v>0</v>
      </c>
      <c r="I77" s="86">
        <v>0</v>
      </c>
      <c r="J77" s="86"/>
      <c r="K77" s="53">
        <f t="shared" si="35"/>
        <v>0</v>
      </c>
      <c r="L77" s="53">
        <f t="shared" si="36"/>
        <v>0</v>
      </c>
      <c r="M77" s="35"/>
      <c r="N77" s="83"/>
      <c r="O77" s="83"/>
      <c r="P77" s="83"/>
    </row>
    <row r="78" spans="1:16" ht="21.75" customHeight="1">
      <c r="A78" s="14"/>
      <c r="B78" s="57" t="s">
        <v>27</v>
      </c>
      <c r="C78" s="63" t="s">
        <v>25</v>
      </c>
      <c r="D78" s="87">
        <f t="shared" ref="D78:F78" si="37">SUM(D58:D67,D69:D77)</f>
        <v>702635</v>
      </c>
      <c r="E78" s="87">
        <f t="shared" si="37"/>
        <v>703262</v>
      </c>
      <c r="F78" s="87">
        <f t="shared" si="37"/>
        <v>731822</v>
      </c>
      <c r="G78" s="87">
        <f t="shared" ref="G78:I78" si="38">SUM(G58:G67,G69:G77)</f>
        <v>743407</v>
      </c>
      <c r="H78" s="88">
        <f t="shared" si="38"/>
        <v>710299</v>
      </c>
      <c r="I78" s="88">
        <f t="shared" si="38"/>
        <v>159339</v>
      </c>
      <c r="J78" s="88">
        <f>SUM(J58:J67,J69:J77)</f>
        <v>337097</v>
      </c>
      <c r="K78" s="89">
        <f>L78-J78</f>
        <v>405363</v>
      </c>
      <c r="L78" s="89">
        <f>L26</f>
        <v>742460</v>
      </c>
      <c r="M78" s="176"/>
      <c r="N78" s="35"/>
      <c r="O78" s="35"/>
      <c r="P78" s="35"/>
    </row>
    <row r="79" spans="1:16" ht="21.75" customHeight="1">
      <c r="A79" s="14"/>
      <c r="B79" s="90"/>
      <c r="C79" s="75"/>
      <c r="D79" s="59"/>
      <c r="E79" s="59"/>
      <c r="F79" s="59"/>
      <c r="G79" s="59"/>
      <c r="H79" s="59"/>
      <c r="I79" s="59"/>
      <c r="J79" s="59"/>
      <c r="K79" s="59"/>
      <c r="L79" s="59"/>
      <c r="M79" s="35"/>
      <c r="N79" s="83"/>
      <c r="O79" s="83"/>
      <c r="P79" s="83"/>
    </row>
    <row r="80" spans="1:16" ht="21.75" customHeight="1" thickBot="1">
      <c r="A80" s="14"/>
      <c r="B80" s="90"/>
      <c r="C80" s="75"/>
      <c r="D80" s="59"/>
      <c r="E80" s="59"/>
      <c r="F80" s="59"/>
      <c r="G80" s="59"/>
      <c r="H80" s="59"/>
      <c r="I80" s="59"/>
      <c r="J80" s="59"/>
      <c r="K80" s="59"/>
      <c r="L80" s="59"/>
      <c r="M80" s="35"/>
      <c r="N80" s="83"/>
      <c r="O80" s="83"/>
      <c r="P80" s="83"/>
    </row>
    <row r="81" spans="1:28" ht="34.5" customHeight="1">
      <c r="A81" s="14"/>
      <c r="B81" s="196" t="s">
        <v>109</v>
      </c>
      <c r="C81" s="197"/>
      <c r="D81" s="197"/>
      <c r="E81" s="197"/>
      <c r="F81" s="197"/>
      <c r="G81" s="197"/>
      <c r="H81" s="198"/>
      <c r="I81" s="198"/>
      <c r="J81" s="198"/>
      <c r="K81" s="198"/>
      <c r="L81" s="199"/>
      <c r="M81" s="35"/>
      <c r="N81" s="83"/>
      <c r="O81" s="83"/>
      <c r="P81" s="83"/>
      <c r="AB81" s="14"/>
    </row>
    <row r="82" spans="1:28" ht="32.25" customHeight="1">
      <c r="A82" s="14"/>
      <c r="B82" s="37" t="s">
        <v>0</v>
      </c>
      <c r="C82" s="37" t="s">
        <v>23</v>
      </c>
      <c r="D82" s="37">
        <v>1399</v>
      </c>
      <c r="E82" s="37">
        <v>1400</v>
      </c>
      <c r="F82" s="37">
        <v>1401</v>
      </c>
      <c r="G82" s="37">
        <v>1402</v>
      </c>
      <c r="H82" s="38" t="s">
        <v>74</v>
      </c>
      <c r="I82" s="38" t="s">
        <v>81</v>
      </c>
      <c r="J82" s="38" t="s">
        <v>87</v>
      </c>
      <c r="K82" s="170" t="s">
        <v>108</v>
      </c>
      <c r="L82" s="39" t="s">
        <v>75</v>
      </c>
      <c r="M82" s="35"/>
      <c r="N82" s="35"/>
      <c r="O82" s="35"/>
      <c r="P82" s="35"/>
      <c r="AB82" s="14"/>
    </row>
    <row r="83" spans="1:28" ht="32.25" customHeight="1">
      <c r="A83" s="14"/>
      <c r="B83" s="200" t="s">
        <v>24</v>
      </c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35"/>
      <c r="N83" s="179" t="s">
        <v>110</v>
      </c>
      <c r="O83" s="35"/>
      <c r="P83" s="35"/>
      <c r="AB83" s="14"/>
    </row>
    <row r="84" spans="1:28" ht="22.5" customHeight="1">
      <c r="A84" s="14"/>
      <c r="B84" s="62" t="s">
        <v>62</v>
      </c>
      <c r="C84" s="63" t="s">
        <v>25</v>
      </c>
      <c r="D84" s="64">
        <f>D58/$D$78</f>
        <v>6.9983704199193031E-2</v>
      </c>
      <c r="E84" s="64">
        <f>E58/$E$78</f>
        <v>7.3713637307290886E-2</v>
      </c>
      <c r="F84" s="64">
        <f>F58/$F$78</f>
        <v>8.4158442900049465E-2</v>
      </c>
      <c r="G84" s="64">
        <f>G58/$G$78</f>
        <v>8.0639542000546141E-2</v>
      </c>
      <c r="H84" s="65">
        <f>H58/$H$78</f>
        <v>0.11437436910371548</v>
      </c>
      <c r="I84" s="65">
        <f>I58/$I$78</f>
        <v>7.4915745674317025E-2</v>
      </c>
      <c r="J84" s="65">
        <f>J58/$J$78</f>
        <v>6.3557373693625283E-2</v>
      </c>
      <c r="K84" s="66">
        <v>6.3557373693625283E-2</v>
      </c>
      <c r="L84" s="66"/>
      <c r="M84" s="215" t="s">
        <v>88</v>
      </c>
      <c r="N84" s="175">
        <f>AVERAGE(D84:G84)</f>
        <v>7.7123831601769874E-2</v>
      </c>
      <c r="O84" s="35"/>
      <c r="P84" s="35"/>
      <c r="AB84" s="14"/>
    </row>
    <row r="85" spans="1:28" ht="22.5" customHeight="1">
      <c r="A85" s="14"/>
      <c r="B85" s="62" t="s">
        <v>63</v>
      </c>
      <c r="C85" s="63" t="s">
        <v>25</v>
      </c>
      <c r="D85" s="64">
        <f t="shared" ref="D85:D92" si="39">D59/$D$78</f>
        <v>6.802820810235756E-2</v>
      </c>
      <c r="E85" s="64">
        <f t="shared" ref="E85:E92" si="40">E59/$E$78</f>
        <v>9.4668843190731197E-2</v>
      </c>
      <c r="F85" s="64">
        <f t="shared" ref="F85:F93" si="41">F59/$F$78</f>
        <v>8.4490490857066336E-2</v>
      </c>
      <c r="G85" s="64">
        <f t="shared" ref="G85:G93" si="42">G59/$G$78</f>
        <v>7.1067396459812721E-2</v>
      </c>
      <c r="H85" s="65">
        <f t="shared" ref="H85:H92" si="43">H59/$H$78</f>
        <v>6.2186487662238013E-2</v>
      </c>
      <c r="I85" s="65">
        <f t="shared" ref="I85:I93" si="44">I59/$I$78</f>
        <v>6.9926383371302692E-2</v>
      </c>
      <c r="J85" s="65">
        <f t="shared" ref="J85:J92" si="45">J59/$J$78</f>
        <v>7.6746455767924368E-2</v>
      </c>
      <c r="K85" s="66">
        <v>7.6746455767924368E-2</v>
      </c>
      <c r="L85" s="66"/>
      <c r="M85" s="216"/>
      <c r="N85" s="175">
        <f t="shared" ref="N85:N93" si="46">AVERAGE(D85:G85)</f>
        <v>7.9563734652491946E-2</v>
      </c>
      <c r="O85" s="35"/>
      <c r="P85" s="35"/>
    </row>
    <row r="86" spans="1:28" ht="22.5" customHeight="1">
      <c r="A86" s="14"/>
      <c r="B86" s="67" t="s">
        <v>64</v>
      </c>
      <c r="C86" s="63" t="s">
        <v>25</v>
      </c>
      <c r="D86" s="64">
        <f t="shared" si="39"/>
        <v>1.3825101226098899E-2</v>
      </c>
      <c r="E86" s="64">
        <f t="shared" si="40"/>
        <v>3.5323961766738431E-2</v>
      </c>
      <c r="F86" s="64">
        <f t="shared" si="41"/>
        <v>1.2374593821994967E-2</v>
      </c>
      <c r="G86" s="64">
        <f t="shared" si="42"/>
        <v>1.8805311222520101E-2</v>
      </c>
      <c r="H86" s="65">
        <f t="shared" si="43"/>
        <v>2.237086072203396E-2</v>
      </c>
      <c r="I86" s="65">
        <f t="shared" si="44"/>
        <v>2.8260501195564173E-2</v>
      </c>
      <c r="J86" s="65">
        <f t="shared" si="45"/>
        <v>2.580859515213722E-2</v>
      </c>
      <c r="K86" s="66">
        <v>2.580859515213722E-2</v>
      </c>
      <c r="L86" s="66"/>
      <c r="M86" s="216"/>
      <c r="N86" s="175">
        <f t="shared" si="46"/>
        <v>2.00822420093381E-2</v>
      </c>
      <c r="O86" s="35"/>
      <c r="P86" s="35"/>
    </row>
    <row r="87" spans="1:28" ht="22.5" customHeight="1">
      <c r="A87" s="14"/>
      <c r="B87" s="62" t="s">
        <v>65</v>
      </c>
      <c r="C87" s="63" t="s">
        <v>25</v>
      </c>
      <c r="D87" s="64">
        <f t="shared" si="39"/>
        <v>3.2474898062294082E-2</v>
      </c>
      <c r="E87" s="64">
        <f t="shared" si="40"/>
        <v>1.1590275032633641E-2</v>
      </c>
      <c r="F87" s="64">
        <f t="shared" si="41"/>
        <v>2.9609659179417946E-2</v>
      </c>
      <c r="G87" s="64">
        <f t="shared" si="42"/>
        <v>3.5771791226071319E-2</v>
      </c>
      <c r="H87" s="65">
        <f t="shared" si="43"/>
        <v>4.3640776630686516E-2</v>
      </c>
      <c r="I87" s="65">
        <f t="shared" si="44"/>
        <v>3.8333364712970462E-2</v>
      </c>
      <c r="J87" s="65">
        <f t="shared" si="45"/>
        <v>2.8445818265959055E-2</v>
      </c>
      <c r="K87" s="66">
        <v>2.8445818265959055E-2</v>
      </c>
      <c r="L87" s="66"/>
      <c r="M87" s="216"/>
      <c r="N87" s="175">
        <f t="shared" si="46"/>
        <v>2.7361655875104245E-2</v>
      </c>
      <c r="O87" s="35"/>
      <c r="P87" s="35"/>
    </row>
    <row r="88" spans="1:28" ht="22.5" customHeight="1">
      <c r="A88" s="14"/>
      <c r="B88" s="62" t="s">
        <v>66</v>
      </c>
      <c r="C88" s="63" t="s">
        <v>25</v>
      </c>
      <c r="D88" s="64">
        <f t="shared" si="39"/>
        <v>9.3647484113373229E-4</v>
      </c>
      <c r="E88" s="64">
        <f t="shared" si="40"/>
        <v>1.0252224633209245E-3</v>
      </c>
      <c r="F88" s="64">
        <f t="shared" si="41"/>
        <v>7.7614501887070904E-4</v>
      </c>
      <c r="G88" s="64">
        <f t="shared" si="42"/>
        <v>1.3747516501727856E-3</v>
      </c>
      <c r="H88" s="65">
        <f t="shared" si="43"/>
        <v>2.8157156352465653E-3</v>
      </c>
      <c r="I88" s="65">
        <f t="shared" si="44"/>
        <v>1.3179447592868035E-3</v>
      </c>
      <c r="J88" s="65">
        <f t="shared" si="45"/>
        <v>1.0857408995037037E-3</v>
      </c>
      <c r="K88" s="66">
        <v>1.0857408995037037E-3</v>
      </c>
      <c r="L88" s="66"/>
      <c r="M88" s="216"/>
      <c r="N88" s="175">
        <f t="shared" si="46"/>
        <v>1.0281484933745378E-3</v>
      </c>
      <c r="O88" s="35"/>
      <c r="P88" s="35"/>
    </row>
    <row r="89" spans="1:28" ht="22.5" customHeight="1">
      <c r="A89" s="14"/>
      <c r="B89" s="62" t="s">
        <v>67</v>
      </c>
      <c r="C89" s="63" t="s">
        <v>25</v>
      </c>
      <c r="D89" s="64">
        <f t="shared" si="39"/>
        <v>2.5717477780070734E-3</v>
      </c>
      <c r="E89" s="64">
        <f t="shared" si="40"/>
        <v>2.4130409434890551E-3</v>
      </c>
      <c r="F89" s="64">
        <f t="shared" si="41"/>
        <v>1.5249609877811818E-3</v>
      </c>
      <c r="G89" s="64">
        <f t="shared" si="42"/>
        <v>9.4833651014854584E-4</v>
      </c>
      <c r="H89" s="65">
        <f t="shared" si="43"/>
        <v>0</v>
      </c>
      <c r="I89" s="65">
        <f t="shared" si="44"/>
        <v>2.9496858898323702E-4</v>
      </c>
      <c r="J89" s="65">
        <f t="shared" si="45"/>
        <v>3.4767440825637726E-3</v>
      </c>
      <c r="K89" s="66">
        <v>3.4767440825637726E-3</v>
      </c>
      <c r="L89" s="66"/>
      <c r="M89" s="216"/>
      <c r="N89" s="175">
        <f t="shared" si="46"/>
        <v>1.8645215548564642E-3</v>
      </c>
      <c r="O89" s="35"/>
      <c r="P89" s="35"/>
    </row>
    <row r="90" spans="1:28" ht="22.5" customHeight="1">
      <c r="A90" s="14"/>
      <c r="B90" s="62" t="s">
        <v>68</v>
      </c>
      <c r="C90" s="63" t="s">
        <v>25</v>
      </c>
      <c r="D90" s="64">
        <f t="shared" si="39"/>
        <v>1.4226447586584784E-2</v>
      </c>
      <c r="E90" s="64">
        <f t="shared" si="40"/>
        <v>1.0631883992025732E-2</v>
      </c>
      <c r="F90" s="64">
        <f t="shared" si="41"/>
        <v>6.6792198102817351E-3</v>
      </c>
      <c r="G90" s="64">
        <f t="shared" si="42"/>
        <v>7.4858052184066061E-3</v>
      </c>
      <c r="H90" s="65">
        <f t="shared" si="43"/>
        <v>4.223573452869848E-3</v>
      </c>
      <c r="I90" s="65">
        <f t="shared" si="44"/>
        <v>3.9739172456209719E-2</v>
      </c>
      <c r="J90" s="65">
        <f t="shared" si="45"/>
        <v>8.0985591684292651E-4</v>
      </c>
      <c r="K90" s="66">
        <v>8.0985591684292651E-4</v>
      </c>
      <c r="L90" s="66"/>
      <c r="M90" s="216"/>
      <c r="N90" s="175">
        <f t="shared" si="46"/>
        <v>9.7558391518247148E-3</v>
      </c>
      <c r="O90" s="35"/>
      <c r="P90" s="35"/>
    </row>
    <row r="91" spans="1:28" ht="22.5" customHeight="1">
      <c r="A91" s="14"/>
      <c r="B91" s="62" t="s">
        <v>69</v>
      </c>
      <c r="C91" s="63" t="s">
        <v>25</v>
      </c>
      <c r="D91" s="64">
        <f t="shared" si="39"/>
        <v>3.6010161748276134E-2</v>
      </c>
      <c r="E91" s="64">
        <f t="shared" si="40"/>
        <v>2.4554149093794348E-2</v>
      </c>
      <c r="F91" s="64">
        <f t="shared" si="41"/>
        <v>3.2307036410493262E-2</v>
      </c>
      <c r="G91" s="64">
        <f t="shared" si="42"/>
        <v>2.2187038862964702E-2</v>
      </c>
      <c r="H91" s="65">
        <f t="shared" si="43"/>
        <v>2.8157156352465653E-2</v>
      </c>
      <c r="I91" s="65">
        <f t="shared" si="44"/>
        <v>1.7133281870728447E-3</v>
      </c>
      <c r="J91" s="65">
        <f t="shared" si="45"/>
        <v>3.6072703109194089E-2</v>
      </c>
      <c r="K91" s="66">
        <v>3.6072703109194089E-2</v>
      </c>
      <c r="L91" s="66"/>
      <c r="M91" s="216"/>
      <c r="N91" s="175">
        <f t="shared" si="46"/>
        <v>2.8764596528882112E-2</v>
      </c>
      <c r="O91" s="35"/>
      <c r="P91" s="35"/>
    </row>
    <row r="92" spans="1:28" ht="22.5" customHeight="1">
      <c r="A92" s="14"/>
      <c r="B92" s="62" t="s">
        <v>70</v>
      </c>
      <c r="C92" s="63" t="s">
        <v>25</v>
      </c>
      <c r="D92" s="64">
        <f t="shared" si="39"/>
        <v>8.639336212969749E-2</v>
      </c>
      <c r="E92" s="64">
        <f t="shared" si="40"/>
        <v>0.11019221854728395</v>
      </c>
      <c r="F92" s="64">
        <f t="shared" si="41"/>
        <v>9.7572907073031415E-2</v>
      </c>
      <c r="G92" s="64">
        <f t="shared" si="42"/>
        <v>7.2724631325774447E-2</v>
      </c>
      <c r="H92" s="65">
        <f t="shared" si="43"/>
        <v>7.0392890881164127E-2</v>
      </c>
      <c r="I92" s="65">
        <f t="shared" si="44"/>
        <v>8.550951116801285E-2</v>
      </c>
      <c r="J92" s="65">
        <f t="shared" si="45"/>
        <v>9.0146159710706414E-2</v>
      </c>
      <c r="K92" s="66">
        <v>9.0146159710706414E-2</v>
      </c>
      <c r="L92" s="66"/>
      <c r="M92" s="216"/>
      <c r="N92" s="175">
        <f t="shared" si="46"/>
        <v>9.1720779768946825E-2</v>
      </c>
      <c r="O92" s="35"/>
      <c r="P92" s="35"/>
    </row>
    <row r="93" spans="1:28" ht="22.5" customHeight="1">
      <c r="A93" s="14"/>
      <c r="B93" s="62" t="s">
        <v>71</v>
      </c>
      <c r="C93" s="63" t="s">
        <v>25</v>
      </c>
      <c r="D93" s="64">
        <f>D67/$D$78</f>
        <v>2.0381848328079301E-2</v>
      </c>
      <c r="E93" s="64">
        <f>E67/$E$78</f>
        <v>2.1818326598053071E-2</v>
      </c>
      <c r="F93" s="64">
        <f t="shared" si="41"/>
        <v>2.4346084157076446E-2</v>
      </c>
      <c r="G93" s="64">
        <f t="shared" si="42"/>
        <v>9.7120419904574481E-3</v>
      </c>
      <c r="H93" s="65">
        <f>H67/$H$78</f>
        <v>3.2380729805335497E-2</v>
      </c>
      <c r="I93" s="65">
        <f t="shared" si="44"/>
        <v>2.7683115872448052E-2</v>
      </c>
      <c r="J93" s="65">
        <f>J67/$J$78</f>
        <v>2.1160081519562619E-2</v>
      </c>
      <c r="K93" s="66">
        <v>2.1160081519562619E-2</v>
      </c>
      <c r="L93" s="66"/>
      <c r="M93" s="217"/>
      <c r="N93" s="175">
        <f t="shared" si="46"/>
        <v>1.9064575268416567E-2</v>
      </c>
      <c r="O93" s="35"/>
      <c r="P93" s="35"/>
    </row>
    <row r="94" spans="1:28" ht="14.25" customHeight="1">
      <c r="A94" s="14"/>
      <c r="B94" s="202" t="s">
        <v>72</v>
      </c>
      <c r="C94" s="203"/>
      <c r="D94" s="203"/>
      <c r="E94" s="203"/>
      <c r="F94" s="203"/>
      <c r="G94" s="203"/>
      <c r="H94" s="203"/>
      <c r="I94" s="203"/>
      <c r="J94" s="203"/>
      <c r="K94" s="203"/>
      <c r="L94" s="203"/>
      <c r="M94" s="35"/>
      <c r="N94" s="175"/>
      <c r="O94" s="35"/>
      <c r="P94" s="35"/>
    </row>
    <row r="95" spans="1:28" ht="15.75" customHeight="1">
      <c r="A95" s="14"/>
      <c r="B95" s="204"/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90"/>
      <c r="N95" s="175"/>
      <c r="O95" s="35"/>
      <c r="P95" s="35"/>
    </row>
    <row r="96" spans="1:28" ht="22.5" customHeight="1">
      <c r="A96" s="14"/>
      <c r="B96" s="62" t="s">
        <v>71</v>
      </c>
      <c r="C96" s="63" t="s">
        <v>25</v>
      </c>
      <c r="D96" s="70">
        <f>D69/$D$78</f>
        <v>4.3506230119478816E-2</v>
      </c>
      <c r="E96" s="70">
        <f>E69/$E$78</f>
        <v>3.5535831596190323E-2</v>
      </c>
      <c r="F96" s="70">
        <f>F69/$F$78</f>
        <v>2.7618737889814737E-2</v>
      </c>
      <c r="G96" s="70">
        <f>G69/$G$78</f>
        <v>3.5677630154141673E-2</v>
      </c>
      <c r="H96" s="71">
        <f>H69/$H$78</f>
        <v>5.4906454887308019E-2</v>
      </c>
      <c r="I96" s="71">
        <f>I69/$I$78</f>
        <v>5.8341021344429173E-2</v>
      </c>
      <c r="J96" s="71">
        <f>J69/$J$78</f>
        <v>5.6503024352041104E-2</v>
      </c>
      <c r="K96" s="72">
        <v>5.6503024352041104E-2</v>
      </c>
      <c r="L96" s="72"/>
      <c r="M96" s="215" t="s">
        <v>88</v>
      </c>
      <c r="N96" s="175">
        <f>AVERAGE(D96:G96)</f>
        <v>3.5584607439906386E-2</v>
      </c>
      <c r="O96" s="35"/>
      <c r="P96" s="35"/>
    </row>
    <row r="97" spans="1:28" ht="22.5" customHeight="1">
      <c r="A97" s="14"/>
      <c r="B97" s="62" t="s">
        <v>65</v>
      </c>
      <c r="C97" s="63" t="s">
        <v>25</v>
      </c>
      <c r="D97" s="70">
        <f t="shared" ref="D97:D104" si="47">D70/$D$78</f>
        <v>0</v>
      </c>
      <c r="E97" s="70">
        <f t="shared" ref="E97:E104" si="48">E70/$E$78</f>
        <v>6.1143642056587727E-5</v>
      </c>
      <c r="F97" s="70">
        <f t="shared" ref="F97:F104" si="49">F70/$F$78</f>
        <v>8.7780908472278787E-3</v>
      </c>
      <c r="G97" s="70">
        <f t="shared" ref="G97:G104" si="50">G70/$G$78</f>
        <v>0.12610857847720025</v>
      </c>
      <c r="H97" s="71">
        <f t="shared" ref="H97:H104" si="51">H70/$H$78</f>
        <v>0.15908793339143093</v>
      </c>
      <c r="I97" s="71">
        <f t="shared" ref="I97:I104" si="52">I70/$I$78</f>
        <v>0.20180244635651035</v>
      </c>
      <c r="J97" s="71">
        <f t="shared" ref="J97:J103" si="53">J70/$J$78</f>
        <v>0.1848666704242399</v>
      </c>
      <c r="K97" s="72">
        <v>0.1848666704242399</v>
      </c>
      <c r="L97" s="72"/>
      <c r="M97" s="216"/>
      <c r="N97" s="175">
        <f t="shared" ref="N97:N104" si="54">AVERAGE(D97:G97)</f>
        <v>3.3736953241621181E-2</v>
      </c>
      <c r="O97" s="35"/>
      <c r="P97" s="35"/>
    </row>
    <row r="98" spans="1:28" ht="22.5" customHeight="1">
      <c r="A98" s="14"/>
      <c r="B98" s="67" t="s">
        <v>64</v>
      </c>
      <c r="C98" s="73" t="s">
        <v>25</v>
      </c>
      <c r="D98" s="70">
        <f t="shared" si="47"/>
        <v>2.8606602289951396E-4</v>
      </c>
      <c r="E98" s="70">
        <f t="shared" si="48"/>
        <v>0</v>
      </c>
      <c r="F98" s="70">
        <f t="shared" si="49"/>
        <v>0</v>
      </c>
      <c r="G98" s="70">
        <f t="shared" si="50"/>
        <v>0</v>
      </c>
      <c r="H98" s="71">
        <f t="shared" si="51"/>
        <v>0</v>
      </c>
      <c r="I98" s="71">
        <f t="shared" si="52"/>
        <v>0</v>
      </c>
      <c r="J98" s="71">
        <f t="shared" si="53"/>
        <v>0</v>
      </c>
      <c r="K98" s="72">
        <v>0</v>
      </c>
      <c r="L98" s="72"/>
      <c r="M98" s="216"/>
      <c r="N98" s="175">
        <f t="shared" si="54"/>
        <v>7.151650572487849E-5</v>
      </c>
      <c r="O98" s="35"/>
      <c r="P98" s="35"/>
    </row>
    <row r="99" spans="1:28" ht="22.5" customHeight="1">
      <c r="A99" s="14"/>
      <c r="B99" s="62" t="s">
        <v>70</v>
      </c>
      <c r="C99" s="63" t="s">
        <v>25</v>
      </c>
      <c r="D99" s="70">
        <f t="shared" si="47"/>
        <v>0.31177069175318622</v>
      </c>
      <c r="E99" s="70">
        <f t="shared" si="48"/>
        <v>0.27142089292468524</v>
      </c>
      <c r="F99" s="70">
        <f t="shared" si="49"/>
        <v>0.26061938558829878</v>
      </c>
      <c r="G99" s="70">
        <f t="shared" si="50"/>
        <v>0.19967931429217103</v>
      </c>
      <c r="H99" s="71">
        <f t="shared" si="51"/>
        <v>0.11262862540986261</v>
      </c>
      <c r="I99" s="71">
        <f t="shared" si="52"/>
        <v>3.7887773865783014E-2</v>
      </c>
      <c r="J99" s="71">
        <f t="shared" si="53"/>
        <v>0.11566403735423335</v>
      </c>
      <c r="K99" s="72">
        <v>0.11566403735423335</v>
      </c>
      <c r="L99" s="72"/>
      <c r="M99" s="216"/>
      <c r="N99" s="175">
        <f t="shared" si="54"/>
        <v>0.26087257113958534</v>
      </c>
      <c r="O99" s="35"/>
      <c r="P99" s="35"/>
    </row>
    <row r="100" spans="1:28" ht="22.5" customHeight="1">
      <c r="A100" s="14"/>
      <c r="B100" s="62" t="s">
        <v>63</v>
      </c>
      <c r="C100" s="63" t="s">
        <v>25</v>
      </c>
      <c r="D100" s="70">
        <f t="shared" si="47"/>
        <v>7.7849808221907538E-4</v>
      </c>
      <c r="E100" s="70">
        <f t="shared" si="48"/>
        <v>9.4985936962326987E-4</v>
      </c>
      <c r="F100" s="70">
        <f t="shared" si="49"/>
        <v>7.1192175146415383E-4</v>
      </c>
      <c r="G100" s="70">
        <f t="shared" si="50"/>
        <v>1.8025119483674489E-4</v>
      </c>
      <c r="H100" s="71">
        <f t="shared" si="51"/>
        <v>0</v>
      </c>
      <c r="I100" s="71">
        <f t="shared" si="52"/>
        <v>2.0836079051581849E-3</v>
      </c>
      <c r="J100" s="71">
        <f t="shared" si="53"/>
        <v>1.5781807610272414E-3</v>
      </c>
      <c r="K100" s="72">
        <v>1.5781807610272414E-3</v>
      </c>
      <c r="L100" s="72"/>
      <c r="M100" s="216"/>
      <c r="N100" s="175">
        <f t="shared" si="54"/>
        <v>6.5513259953581108E-4</v>
      </c>
      <c r="O100" s="35"/>
      <c r="P100" s="35"/>
    </row>
    <row r="101" spans="1:28" ht="22.5" customHeight="1">
      <c r="A101" s="14"/>
      <c r="B101" s="62" t="s">
        <v>62</v>
      </c>
      <c r="C101" s="63" t="s">
        <v>25</v>
      </c>
      <c r="D101" s="70">
        <f t="shared" si="47"/>
        <v>2.6725113323418277E-2</v>
      </c>
      <c r="E101" s="70">
        <f t="shared" si="48"/>
        <v>1.5253205775372479E-2</v>
      </c>
      <c r="F101" s="70">
        <f t="shared" si="49"/>
        <v>1.5218181470357545E-2</v>
      </c>
      <c r="G101" s="70">
        <f t="shared" si="50"/>
        <v>7.0741868182570252E-3</v>
      </c>
      <c r="H101" s="71">
        <f t="shared" si="51"/>
        <v>2.1117867264349239E-2</v>
      </c>
      <c r="I101" s="71">
        <f t="shared" si="52"/>
        <v>1.1805019486754656E-2</v>
      </c>
      <c r="J101" s="71">
        <f t="shared" si="53"/>
        <v>9.6174098256584899E-3</v>
      </c>
      <c r="K101" s="72">
        <v>9.6174098256584899E-3</v>
      </c>
      <c r="L101" s="72"/>
      <c r="M101" s="216"/>
      <c r="N101" s="175">
        <f t="shared" si="54"/>
        <v>1.6067671846851331E-2</v>
      </c>
      <c r="O101" s="35"/>
      <c r="P101" s="35"/>
    </row>
    <row r="102" spans="1:28" ht="22.5" customHeight="1">
      <c r="A102" s="14"/>
      <c r="B102" s="62" t="s">
        <v>68</v>
      </c>
      <c r="C102" s="63" t="s">
        <v>25</v>
      </c>
      <c r="D102" s="70">
        <f t="shared" si="47"/>
        <v>1.3594540550926156E-2</v>
      </c>
      <c r="E102" s="70">
        <f>E75/$E$78</f>
        <v>2.0109148510796829E-2</v>
      </c>
      <c r="F102" s="70">
        <f t="shared" si="49"/>
        <v>1.9560767509039085E-2</v>
      </c>
      <c r="G102" s="70">
        <f t="shared" si="50"/>
        <v>2.9419954345331695E-2</v>
      </c>
      <c r="H102" s="71">
        <f t="shared" si="51"/>
        <v>8.4471469057396959E-3</v>
      </c>
      <c r="I102" s="71">
        <f t="shared" si="52"/>
        <v>1.1265289728189583E-2</v>
      </c>
      <c r="J102" s="71">
        <f t="shared" si="53"/>
        <v>1.0275973977816474E-2</v>
      </c>
      <c r="K102" s="72">
        <v>1.0275973977816474E-2</v>
      </c>
      <c r="L102" s="72"/>
      <c r="M102" s="216"/>
      <c r="N102" s="175">
        <f t="shared" si="54"/>
        <v>2.0671102729023439E-2</v>
      </c>
      <c r="O102" s="35"/>
      <c r="P102" s="35"/>
    </row>
    <row r="103" spans="1:28" ht="22.5" customHeight="1">
      <c r="A103" s="14"/>
      <c r="B103" s="62" t="s">
        <v>69</v>
      </c>
      <c r="C103" s="63"/>
      <c r="D103" s="70">
        <f t="shared" si="47"/>
        <v>0.25850690614614985</v>
      </c>
      <c r="E103" s="70">
        <f t="shared" si="48"/>
        <v>0.27073835924591405</v>
      </c>
      <c r="F103" s="70">
        <f>F76/$F$78</f>
        <v>0.29365337472773434</v>
      </c>
      <c r="G103" s="70">
        <f t="shared" si="50"/>
        <v>0.27660891005868926</v>
      </c>
      <c r="H103" s="71">
        <f>H76/$H$78</f>
        <v>0.26326941189555386</v>
      </c>
      <c r="I103" s="71">
        <f t="shared" si="52"/>
        <v>0.3091208053270072</v>
      </c>
      <c r="J103" s="71">
        <f t="shared" si="53"/>
        <v>0.274185175186964</v>
      </c>
      <c r="K103" s="72">
        <v>0.274185175186964</v>
      </c>
      <c r="L103" s="72"/>
      <c r="M103" s="216"/>
      <c r="N103" s="175">
        <f t="shared" si="54"/>
        <v>0.27487688754462186</v>
      </c>
      <c r="O103" s="35"/>
      <c r="P103" s="35"/>
    </row>
    <row r="104" spans="1:28" ht="22.5" customHeight="1">
      <c r="A104" s="14"/>
      <c r="B104" s="62" t="s">
        <v>73</v>
      </c>
      <c r="C104" s="63" t="s">
        <v>25</v>
      </c>
      <c r="D104" s="70">
        <f t="shared" si="47"/>
        <v>0</v>
      </c>
      <c r="E104" s="70">
        <f t="shared" si="48"/>
        <v>0</v>
      </c>
      <c r="F104" s="70">
        <f t="shared" si="49"/>
        <v>0</v>
      </c>
      <c r="G104" s="70">
        <f t="shared" si="50"/>
        <v>4.5345281924975148E-3</v>
      </c>
      <c r="H104" s="71">
        <f t="shared" si="51"/>
        <v>0</v>
      </c>
      <c r="I104" s="71">
        <f t="shared" si="52"/>
        <v>0</v>
      </c>
      <c r="J104" s="71">
        <f>J77/$J$78</f>
        <v>0</v>
      </c>
      <c r="K104" s="72">
        <v>0</v>
      </c>
      <c r="L104" s="72"/>
      <c r="M104" s="217"/>
      <c r="N104" s="175">
        <f t="shared" si="54"/>
        <v>1.1336320481243787E-3</v>
      </c>
      <c r="O104" s="35"/>
      <c r="P104" s="35"/>
    </row>
    <row r="105" spans="1:28" ht="18">
      <c r="A105" s="1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AB105" s="14"/>
    </row>
    <row r="106" spans="1:28" ht="18.75" thickBot="1">
      <c r="A106" s="1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AB106" s="14"/>
    </row>
    <row r="107" spans="1:28" ht="41.25" customHeight="1">
      <c r="A107" s="14"/>
      <c r="B107" s="196" t="s">
        <v>28</v>
      </c>
      <c r="C107" s="197"/>
      <c r="D107" s="197"/>
      <c r="E107" s="197"/>
      <c r="F107" s="197"/>
      <c r="G107" s="197"/>
      <c r="H107" s="198"/>
      <c r="I107" s="198"/>
      <c r="J107" s="198"/>
      <c r="K107" s="198"/>
      <c r="L107" s="199"/>
      <c r="M107" s="49"/>
      <c r="N107" s="35"/>
      <c r="O107" s="35"/>
      <c r="P107" s="35"/>
      <c r="AB107" s="14"/>
    </row>
    <row r="108" spans="1:28" ht="30.75" customHeight="1">
      <c r="A108" s="14"/>
      <c r="B108" s="43" t="s">
        <v>0</v>
      </c>
      <c r="C108" s="80" t="s">
        <v>23</v>
      </c>
      <c r="D108" s="80">
        <v>1399</v>
      </c>
      <c r="E108" s="80">
        <v>1400</v>
      </c>
      <c r="F108" s="80">
        <v>1401</v>
      </c>
      <c r="G108" s="80">
        <v>1402</v>
      </c>
      <c r="H108" s="38" t="s">
        <v>74</v>
      </c>
      <c r="I108" s="38" t="s">
        <v>81</v>
      </c>
      <c r="J108" s="38" t="s">
        <v>87</v>
      </c>
      <c r="K108" s="170" t="s">
        <v>108</v>
      </c>
      <c r="L108" s="39" t="s">
        <v>75</v>
      </c>
      <c r="M108" s="35"/>
      <c r="N108" s="35"/>
      <c r="O108" s="35"/>
      <c r="P108" s="35"/>
    </row>
    <row r="109" spans="1:28" ht="27.75" customHeight="1">
      <c r="A109" s="14"/>
      <c r="B109" s="208" t="s">
        <v>24</v>
      </c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35"/>
      <c r="N109" s="35"/>
      <c r="O109" s="35"/>
      <c r="P109" s="35"/>
    </row>
    <row r="110" spans="1:28" ht="23.25" thickBot="1">
      <c r="A110" s="14"/>
      <c r="B110" s="43" t="s">
        <v>62</v>
      </c>
      <c r="C110" s="91" t="s">
        <v>29</v>
      </c>
      <c r="D110" s="51">
        <v>163562890</v>
      </c>
      <c r="E110" s="51">
        <v>323589178</v>
      </c>
      <c r="F110" s="51">
        <v>452651123</v>
      </c>
      <c r="G110" s="51">
        <v>535745830</v>
      </c>
      <c r="H110" s="52">
        <v>689715374</v>
      </c>
      <c r="I110" s="52">
        <v>557219151</v>
      </c>
      <c r="J110" s="52">
        <v>638654562</v>
      </c>
      <c r="K110" s="53">
        <f>$K$124*K161</f>
        <v>819807517.79425585</v>
      </c>
      <c r="L110" s="89">
        <f>L135/L58</f>
        <v>737559157.02145159</v>
      </c>
      <c r="M110" s="209"/>
      <c r="N110" s="211"/>
      <c r="O110" s="59"/>
      <c r="P110" s="92"/>
    </row>
    <row r="111" spans="1:28" ht="23.25" thickBot="1">
      <c r="A111" s="14"/>
      <c r="B111" s="43" t="s">
        <v>63</v>
      </c>
      <c r="C111" s="91" t="s">
        <v>29</v>
      </c>
      <c r="D111" s="51">
        <v>140320906</v>
      </c>
      <c r="E111" s="51">
        <v>240693062</v>
      </c>
      <c r="F111" s="51">
        <v>328566293</v>
      </c>
      <c r="G111" s="51">
        <v>373693557</v>
      </c>
      <c r="H111" s="52">
        <v>453829617</v>
      </c>
      <c r="I111" s="52">
        <v>401168641</v>
      </c>
      <c r="J111" s="52">
        <v>439233118</v>
      </c>
      <c r="K111" s="53">
        <f t="shared" ref="K111:K119" si="55">$K$124*K162</f>
        <v>563820621.70349228</v>
      </c>
      <c r="L111" s="89">
        <f t="shared" ref="L111:L118" si="56">L136/L59</f>
        <v>507254512.10036737</v>
      </c>
      <c r="M111" s="209"/>
      <c r="N111" s="211"/>
      <c r="O111" s="59"/>
      <c r="P111" s="35"/>
    </row>
    <row r="112" spans="1:28" ht="23.25" thickBot="1">
      <c r="A112" s="14"/>
      <c r="B112" s="80" t="s">
        <v>64</v>
      </c>
      <c r="C112" s="91" t="s">
        <v>29</v>
      </c>
      <c r="D112" s="51">
        <v>147176549</v>
      </c>
      <c r="E112" s="51">
        <v>281867281</v>
      </c>
      <c r="F112" s="51">
        <v>430965548</v>
      </c>
      <c r="G112" s="51">
        <v>497107940</v>
      </c>
      <c r="H112" s="52">
        <v>619095091</v>
      </c>
      <c r="I112" s="52">
        <v>551744393</v>
      </c>
      <c r="J112" s="52">
        <v>566789540</v>
      </c>
      <c r="K112" s="53">
        <f t="shared" si="55"/>
        <v>727558141.04581332</v>
      </c>
      <c r="L112" s="89">
        <f t="shared" si="56"/>
        <v>654564830.82473683</v>
      </c>
      <c r="M112" s="209"/>
      <c r="N112" s="211"/>
      <c r="O112" s="59"/>
      <c r="P112" s="35"/>
    </row>
    <row r="113" spans="1:16" ht="23.25" thickBot="1">
      <c r="A113" s="14"/>
      <c r="B113" s="43" t="s">
        <v>65</v>
      </c>
      <c r="C113" s="91" t="s">
        <v>29</v>
      </c>
      <c r="D113" s="51">
        <v>148429003</v>
      </c>
      <c r="E113" s="51">
        <v>310625077</v>
      </c>
      <c r="F113" s="51">
        <v>406379851</v>
      </c>
      <c r="G113" s="51">
        <v>566410973</v>
      </c>
      <c r="H113" s="52">
        <v>685877379</v>
      </c>
      <c r="I113" s="52">
        <v>655516208</v>
      </c>
      <c r="J113" s="52">
        <v>645475023</v>
      </c>
      <c r="K113" s="53">
        <f t="shared" si="55"/>
        <v>828562587.4912647</v>
      </c>
      <c r="L113" s="89">
        <f t="shared" si="56"/>
        <v>745435861.83963108</v>
      </c>
      <c r="M113" s="209"/>
      <c r="N113" s="211"/>
      <c r="O113" s="59"/>
      <c r="P113" s="35"/>
    </row>
    <row r="114" spans="1:16" ht="23.25" thickBot="1">
      <c r="A114" s="14"/>
      <c r="B114" s="43" t="s">
        <v>66</v>
      </c>
      <c r="C114" s="91" t="s">
        <v>29</v>
      </c>
      <c r="D114" s="51">
        <v>118556231</v>
      </c>
      <c r="E114" s="51">
        <v>230742025</v>
      </c>
      <c r="F114" s="51">
        <v>453536972</v>
      </c>
      <c r="G114" s="51">
        <v>539454012</v>
      </c>
      <c r="H114" s="52">
        <v>1596648000</v>
      </c>
      <c r="I114" s="52">
        <v>790552381</v>
      </c>
      <c r="J114" s="52">
        <v>796745902</v>
      </c>
      <c r="K114" s="53">
        <f t="shared" si="55"/>
        <v>1022741117.1790322</v>
      </c>
      <c r="L114" s="89">
        <f t="shared" si="56"/>
        <v>920133153.04465985</v>
      </c>
      <c r="M114" s="209"/>
      <c r="N114" s="211"/>
      <c r="O114" s="59"/>
      <c r="P114" s="35"/>
    </row>
    <row r="115" spans="1:16" ht="23.25" thickBot="1">
      <c r="A115" s="14"/>
      <c r="B115" s="43" t="s">
        <v>67</v>
      </c>
      <c r="C115" s="91" t="s">
        <v>29</v>
      </c>
      <c r="D115" s="51">
        <v>154484228</v>
      </c>
      <c r="E115" s="51">
        <v>320205068</v>
      </c>
      <c r="F115" s="51">
        <v>444409498</v>
      </c>
      <c r="G115" s="51">
        <v>492689362</v>
      </c>
      <c r="H115" s="52">
        <v>0</v>
      </c>
      <c r="I115" s="52">
        <v>505127660</v>
      </c>
      <c r="J115" s="52">
        <v>586545222</v>
      </c>
      <c r="K115" s="53">
        <f t="shared" si="55"/>
        <v>752917478.60700452</v>
      </c>
      <c r="L115" s="89">
        <f t="shared" si="56"/>
        <v>677379956.60521114</v>
      </c>
      <c r="M115" s="209"/>
      <c r="N115" s="211"/>
      <c r="O115" s="59"/>
      <c r="P115" s="35"/>
    </row>
    <row r="116" spans="1:16" ht="24" customHeight="1" thickBot="1">
      <c r="A116" s="14"/>
      <c r="B116" s="43" t="s">
        <v>68</v>
      </c>
      <c r="C116" s="91" t="s">
        <v>29</v>
      </c>
      <c r="D116" s="51">
        <v>111631353</v>
      </c>
      <c r="E116" s="51">
        <v>189697873</v>
      </c>
      <c r="F116" s="51">
        <v>272904869</v>
      </c>
      <c r="G116" s="51">
        <v>293939982</v>
      </c>
      <c r="H116" s="52">
        <v>299819667</v>
      </c>
      <c r="I116" s="52">
        <v>189645925</v>
      </c>
      <c r="J116" s="52">
        <v>302509158</v>
      </c>
      <c r="K116" s="53">
        <f t="shared" si="55"/>
        <v>388315212.4575451</v>
      </c>
      <c r="L116" s="89">
        <f t="shared" si="56"/>
        <v>349356933.84391594</v>
      </c>
      <c r="M116" s="209"/>
      <c r="N116" s="211"/>
      <c r="O116" s="59"/>
      <c r="P116" s="35"/>
    </row>
    <row r="117" spans="1:16" ht="24" customHeight="1" thickBot="1">
      <c r="A117" s="14"/>
      <c r="B117" s="43" t="s">
        <v>69</v>
      </c>
      <c r="C117" s="91" t="s">
        <v>29</v>
      </c>
      <c r="D117" s="51">
        <v>40169512</v>
      </c>
      <c r="E117" s="51">
        <v>79862578</v>
      </c>
      <c r="F117" s="51">
        <v>114338959</v>
      </c>
      <c r="G117" s="51">
        <v>160418516</v>
      </c>
      <c r="H117" s="52">
        <v>150000000</v>
      </c>
      <c r="I117" s="52">
        <v>302509158</v>
      </c>
      <c r="J117" s="52">
        <v>194166447</v>
      </c>
      <c r="K117" s="53">
        <f>$K$124*K168</f>
        <v>249241330.79941887</v>
      </c>
      <c r="L117" s="89">
        <f t="shared" si="56"/>
        <v>224235838.10737795</v>
      </c>
      <c r="M117" s="209"/>
      <c r="N117" s="211"/>
      <c r="O117" s="59"/>
      <c r="P117" s="35"/>
    </row>
    <row r="118" spans="1:16" ht="24" customHeight="1" thickBot="1">
      <c r="A118" s="14"/>
      <c r="B118" s="43" t="s">
        <v>70</v>
      </c>
      <c r="C118" s="91" t="s">
        <v>29</v>
      </c>
      <c r="D118" s="51">
        <v>107213021</v>
      </c>
      <c r="E118" s="51">
        <v>216096949</v>
      </c>
      <c r="F118" s="51">
        <v>280636809</v>
      </c>
      <c r="G118" s="51">
        <v>277599253</v>
      </c>
      <c r="H118" s="52">
        <v>320002140</v>
      </c>
      <c r="I118" s="52">
        <v>356555303</v>
      </c>
      <c r="J118" s="52">
        <v>346089081</v>
      </c>
      <c r="K118" s="53">
        <f>$K$124*K169</f>
        <v>444256484.35328203</v>
      </c>
      <c r="L118" s="89">
        <f t="shared" si="56"/>
        <v>399685817.69355452</v>
      </c>
      <c r="M118" s="209"/>
      <c r="N118" s="211"/>
      <c r="O118" s="59"/>
      <c r="P118" s="35"/>
    </row>
    <row r="119" spans="1:16" ht="22.5">
      <c r="A119" s="14"/>
      <c r="B119" s="55" t="s">
        <v>71</v>
      </c>
      <c r="C119" s="93" t="s">
        <v>29</v>
      </c>
      <c r="D119" s="85">
        <v>79798198</v>
      </c>
      <c r="E119" s="85">
        <v>214780696</v>
      </c>
      <c r="F119" s="85">
        <v>259900657</v>
      </c>
      <c r="G119" s="85">
        <v>314036704</v>
      </c>
      <c r="H119" s="86">
        <v>322632217</v>
      </c>
      <c r="I119" s="86">
        <v>358200635</v>
      </c>
      <c r="J119" s="86">
        <v>353347259</v>
      </c>
      <c r="K119" s="178">
        <f t="shared" si="55"/>
        <v>453573428.51047242</v>
      </c>
      <c r="L119" s="178">
        <f>L144/L67</f>
        <v>408068026.11374837</v>
      </c>
      <c r="M119" s="209"/>
      <c r="N119" s="211"/>
      <c r="O119" s="59"/>
      <c r="P119" s="35"/>
    </row>
    <row r="120" spans="1:16" ht="28.5" customHeight="1">
      <c r="A120" s="14"/>
      <c r="B120" s="208" t="s">
        <v>26</v>
      </c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35"/>
      <c r="N120" s="35"/>
      <c r="O120" s="35"/>
      <c r="P120" s="35"/>
    </row>
    <row r="121" spans="1:16" ht="23.25" thickBot="1">
      <c r="A121" s="14"/>
      <c r="B121" s="80" t="s">
        <v>71</v>
      </c>
      <c r="C121" s="91" t="s">
        <v>29</v>
      </c>
      <c r="D121" s="51">
        <v>107209362</v>
      </c>
      <c r="E121" s="51">
        <v>201492057</v>
      </c>
      <c r="F121" s="51">
        <v>292285622</v>
      </c>
      <c r="G121" s="51">
        <v>374990499</v>
      </c>
      <c r="H121" s="52">
        <v>440000000</v>
      </c>
      <c r="I121" s="52">
        <v>470041954</v>
      </c>
      <c r="J121" s="52">
        <v>453143540</v>
      </c>
      <c r="K121" s="53">
        <f>$K$124*K172</f>
        <v>581676704.17721403</v>
      </c>
      <c r="L121" s="89">
        <f>L146/L69</f>
        <v>523319157.58258754</v>
      </c>
      <c r="M121" s="210"/>
      <c r="N121" s="209"/>
      <c r="O121" s="59"/>
      <c r="P121" s="35"/>
    </row>
    <row r="122" spans="1:16" ht="23.25" thickBot="1">
      <c r="A122" s="14"/>
      <c r="B122" s="80" t="s">
        <v>65</v>
      </c>
      <c r="C122" s="91" t="s">
        <v>29</v>
      </c>
      <c r="D122" s="51">
        <v>0</v>
      </c>
      <c r="E122" s="51">
        <v>253372093</v>
      </c>
      <c r="F122" s="51">
        <v>292094956</v>
      </c>
      <c r="G122" s="51">
        <v>347017120</v>
      </c>
      <c r="H122" s="52">
        <v>445500000</v>
      </c>
      <c r="I122" s="52">
        <v>475874141</v>
      </c>
      <c r="J122" s="52">
        <v>442419381</v>
      </c>
      <c r="K122" s="53">
        <f t="shared" ref="K122:K123" si="57">$K$124*K173</f>
        <v>567910661.1653409</v>
      </c>
      <c r="L122" s="89">
        <f t="shared" ref="L122:L128" si="58">L147/L70</f>
        <v>510934212.50831437</v>
      </c>
      <c r="M122" s="210"/>
      <c r="N122" s="209"/>
      <c r="O122" s="59"/>
      <c r="P122" s="35"/>
    </row>
    <row r="123" spans="1:16" ht="23.25" thickBot="1">
      <c r="A123" s="14"/>
      <c r="B123" s="80" t="s">
        <v>64</v>
      </c>
      <c r="C123" s="91" t="s">
        <v>29</v>
      </c>
      <c r="D123" s="51">
        <v>128492537</v>
      </c>
      <c r="E123" s="51">
        <v>0</v>
      </c>
      <c r="F123" s="51">
        <v>0</v>
      </c>
      <c r="G123" s="51">
        <v>0</v>
      </c>
      <c r="H123" s="52">
        <v>0</v>
      </c>
      <c r="I123" s="52">
        <v>0</v>
      </c>
      <c r="J123" s="52"/>
      <c r="K123" s="53">
        <f t="shared" si="57"/>
        <v>0</v>
      </c>
      <c r="L123" s="89">
        <v>0</v>
      </c>
      <c r="M123" s="210"/>
      <c r="N123" s="209"/>
      <c r="O123" s="59"/>
      <c r="P123" s="35"/>
    </row>
    <row r="124" spans="1:16" ht="23.25" thickBot="1">
      <c r="A124" s="14"/>
      <c r="B124" s="80" t="s">
        <v>70</v>
      </c>
      <c r="C124" s="91" t="s">
        <v>29</v>
      </c>
      <c r="D124" s="51">
        <v>122015813</v>
      </c>
      <c r="E124" s="51">
        <v>210341565</v>
      </c>
      <c r="F124" s="51">
        <v>283533254</v>
      </c>
      <c r="G124" s="51">
        <v>353435777</v>
      </c>
      <c r="H124" s="52">
        <v>446301263</v>
      </c>
      <c r="I124" s="52">
        <v>466066755</v>
      </c>
      <c r="J124" s="52">
        <v>425350321</v>
      </c>
      <c r="K124" s="53">
        <f>مفروضات!D4*مفروضات!D6</f>
        <v>546000000</v>
      </c>
      <c r="L124" s="89">
        <f t="shared" si="58"/>
        <v>491221769.73592794</v>
      </c>
      <c r="M124" s="210"/>
      <c r="N124" s="209"/>
      <c r="O124" s="59"/>
      <c r="P124" s="35"/>
    </row>
    <row r="125" spans="1:16" ht="23.25" thickBot="1">
      <c r="A125" s="14"/>
      <c r="B125" s="80" t="s">
        <v>63</v>
      </c>
      <c r="C125" s="91" t="s">
        <v>29</v>
      </c>
      <c r="D125" s="51">
        <v>177851920</v>
      </c>
      <c r="E125" s="51">
        <v>258383234</v>
      </c>
      <c r="F125" s="51">
        <v>345303263</v>
      </c>
      <c r="G125" s="51">
        <v>628522388</v>
      </c>
      <c r="H125" s="52">
        <v>0</v>
      </c>
      <c r="I125" s="52">
        <v>652180723</v>
      </c>
      <c r="J125" s="52">
        <v>621443609</v>
      </c>
      <c r="K125" s="53">
        <f>$K$124*K176</f>
        <v>797714715.99289095</v>
      </c>
      <c r="L125" s="89">
        <f t="shared" si="58"/>
        <v>717682847.13263917</v>
      </c>
      <c r="M125" s="210"/>
      <c r="N125" s="209"/>
      <c r="O125" s="59"/>
      <c r="P125" s="35"/>
    </row>
    <row r="126" spans="1:16" ht="23.25" thickBot="1">
      <c r="A126" s="14"/>
      <c r="B126" s="80" t="s">
        <v>62</v>
      </c>
      <c r="C126" s="91" t="s">
        <v>29</v>
      </c>
      <c r="D126" s="51">
        <v>134851209</v>
      </c>
      <c r="E126" s="51">
        <v>225386222</v>
      </c>
      <c r="F126" s="51">
        <v>310355841</v>
      </c>
      <c r="G126" s="51">
        <v>481854915</v>
      </c>
      <c r="H126" s="52">
        <v>596530000</v>
      </c>
      <c r="I126" s="52">
        <v>583875598</v>
      </c>
      <c r="J126" s="52">
        <v>564543492</v>
      </c>
      <c r="K126" s="53">
        <f t="shared" ref="K126:K128" si="59">$K$124*K177</f>
        <v>724675006.49188411</v>
      </c>
      <c r="L126" s="89">
        <f t="shared" si="58"/>
        <v>651970950.86508846</v>
      </c>
      <c r="M126" s="210"/>
      <c r="N126" s="209"/>
      <c r="O126" s="59"/>
      <c r="P126" s="35"/>
    </row>
    <row r="127" spans="1:16" ht="23.25" thickBot="1">
      <c r="A127" s="14"/>
      <c r="B127" s="80" t="s">
        <v>68</v>
      </c>
      <c r="C127" s="91" t="s">
        <v>29</v>
      </c>
      <c r="D127" s="51">
        <v>118141122</v>
      </c>
      <c r="E127" s="51">
        <v>184811201</v>
      </c>
      <c r="F127" s="51">
        <v>248760531</v>
      </c>
      <c r="G127" s="51">
        <v>282267112</v>
      </c>
      <c r="H127" s="52">
        <v>298200000</v>
      </c>
      <c r="I127" s="52">
        <v>387106964</v>
      </c>
      <c r="J127" s="52">
        <v>398475751</v>
      </c>
      <c r="K127" s="53">
        <f t="shared" si="59"/>
        <v>511502517.58244234</v>
      </c>
      <c r="L127" s="89">
        <f t="shared" si="58"/>
        <v>460185296.54071409</v>
      </c>
      <c r="M127" s="210"/>
      <c r="N127" s="209"/>
      <c r="O127" s="59"/>
      <c r="P127" s="35"/>
    </row>
    <row r="128" spans="1:16" ht="23.25" thickBot="1">
      <c r="A128" s="14"/>
      <c r="B128" s="80" t="s">
        <v>69</v>
      </c>
      <c r="C128" s="93"/>
      <c r="D128" s="51">
        <v>45733483</v>
      </c>
      <c r="E128" s="51">
        <v>82429732</v>
      </c>
      <c r="F128" s="51">
        <v>112248425</v>
      </c>
      <c r="G128" s="51">
        <v>153646180</v>
      </c>
      <c r="H128" s="52">
        <v>155400000</v>
      </c>
      <c r="I128" s="52">
        <v>171889859</v>
      </c>
      <c r="J128" s="52">
        <v>171197410</v>
      </c>
      <c r="K128" s="53">
        <f t="shared" si="59"/>
        <v>219757177.1904223</v>
      </c>
      <c r="L128" s="89">
        <f t="shared" si="58"/>
        <v>197709724.34368336</v>
      </c>
      <c r="M128" s="210"/>
      <c r="N128" s="209"/>
      <c r="O128" s="59"/>
      <c r="P128" s="35"/>
    </row>
    <row r="129" spans="1:28" ht="23.25" thickBot="1">
      <c r="A129" s="14"/>
      <c r="B129" s="80" t="s">
        <v>73</v>
      </c>
      <c r="C129" s="94" t="s">
        <v>29</v>
      </c>
      <c r="D129" s="51">
        <v>0</v>
      </c>
      <c r="E129" s="51">
        <v>0</v>
      </c>
      <c r="F129" s="51">
        <v>0</v>
      </c>
      <c r="G129" s="51">
        <v>273816968</v>
      </c>
      <c r="H129" s="52">
        <v>0</v>
      </c>
      <c r="I129" s="52"/>
      <c r="J129" s="52"/>
      <c r="K129" s="53"/>
      <c r="L129" s="89">
        <v>0</v>
      </c>
      <c r="M129" s="35"/>
      <c r="N129" s="35"/>
      <c r="O129" s="35"/>
      <c r="P129" s="35"/>
    </row>
    <row r="130" spans="1:28" ht="18">
      <c r="A130" s="14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61"/>
      <c r="N130" s="35"/>
      <c r="O130" s="35"/>
      <c r="P130" s="35"/>
      <c r="AB130" s="14"/>
    </row>
    <row r="131" spans="1:28" ht="18.75" thickBot="1">
      <c r="A131" s="1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AB131" s="14"/>
    </row>
    <row r="132" spans="1:28" ht="44.25" customHeight="1">
      <c r="A132" s="14"/>
      <c r="B132" s="196" t="s">
        <v>92</v>
      </c>
      <c r="C132" s="197"/>
      <c r="D132" s="197"/>
      <c r="E132" s="197"/>
      <c r="F132" s="197"/>
      <c r="G132" s="197"/>
      <c r="H132" s="198"/>
      <c r="I132" s="198"/>
      <c r="J132" s="198"/>
      <c r="K132" s="198"/>
      <c r="L132" s="199"/>
      <c r="M132" s="35"/>
      <c r="N132" s="35"/>
      <c r="O132" s="35"/>
      <c r="P132" s="35"/>
      <c r="AB132" s="14"/>
    </row>
    <row r="133" spans="1:28" ht="27" customHeight="1">
      <c r="A133" s="14"/>
      <c r="B133" s="43" t="s">
        <v>0</v>
      </c>
      <c r="C133" s="80" t="s">
        <v>23</v>
      </c>
      <c r="D133" s="80">
        <v>1399</v>
      </c>
      <c r="E133" s="80">
        <v>1400</v>
      </c>
      <c r="F133" s="80">
        <v>1401</v>
      </c>
      <c r="G133" s="80">
        <v>1402</v>
      </c>
      <c r="H133" s="38" t="s">
        <v>74</v>
      </c>
      <c r="I133" s="38" t="s">
        <v>81</v>
      </c>
      <c r="J133" s="38" t="s">
        <v>87</v>
      </c>
      <c r="K133" s="170" t="s">
        <v>108</v>
      </c>
      <c r="L133" s="39" t="s">
        <v>75</v>
      </c>
      <c r="M133" s="35"/>
      <c r="N133" s="35"/>
      <c r="O133" s="35"/>
      <c r="P133" s="35"/>
      <c r="AB133" s="14"/>
    </row>
    <row r="134" spans="1:28" ht="28.5" customHeight="1">
      <c r="A134" s="14"/>
      <c r="B134" s="200" t="s">
        <v>24</v>
      </c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35"/>
      <c r="N134" s="35"/>
      <c r="O134" s="35"/>
      <c r="P134" s="35"/>
      <c r="AB134" s="14"/>
    </row>
    <row r="135" spans="1:28" ht="23.25" customHeight="1" thickBot="1">
      <c r="A135" s="14"/>
      <c r="B135" s="43" t="s">
        <v>62</v>
      </c>
      <c r="C135" s="91" t="s">
        <v>29</v>
      </c>
      <c r="D135" s="51">
        <f t="shared" ref="D135:H144" si="60">D58*D110</f>
        <v>8042877989970</v>
      </c>
      <c r="E135" s="51">
        <f t="shared" si="60"/>
        <v>16774862987520</v>
      </c>
      <c r="F135" s="51">
        <f t="shared" si="60"/>
        <v>27878330014447</v>
      </c>
      <c r="G135" s="51">
        <f t="shared" si="60"/>
        <v>32116891016840</v>
      </c>
      <c r="H135" s="52">
        <f t="shared" si="60"/>
        <v>56032476983760</v>
      </c>
      <c r="I135" s="52">
        <f t="shared" ref="I135" si="61">I58*I110</f>
        <v>6651525005487</v>
      </c>
      <c r="J135" s="52">
        <f>J58*J110</f>
        <v>13683173990850</v>
      </c>
      <c r="K135" s="53">
        <f>K58*K110</f>
        <v>21121363216977.418</v>
      </c>
      <c r="L135" s="95">
        <f>K135+J135</f>
        <v>34804537207827.418</v>
      </c>
      <c r="M135" s="218" t="s">
        <v>96</v>
      </c>
      <c r="O135" s="59"/>
      <c r="P135" s="35"/>
      <c r="AB135" s="14"/>
    </row>
    <row r="136" spans="1:28" ht="23.25" customHeight="1" thickBot="1">
      <c r="A136" s="14"/>
      <c r="B136" s="43" t="s">
        <v>63</v>
      </c>
      <c r="C136" s="91" t="s">
        <v>29</v>
      </c>
      <c r="D136" s="51">
        <f t="shared" si="60"/>
        <v>6707198985894</v>
      </c>
      <c r="E136" s="51">
        <f t="shared" si="60"/>
        <v>16024621988774</v>
      </c>
      <c r="F136" s="51">
        <f t="shared" si="60"/>
        <v>20315911028776</v>
      </c>
      <c r="G136" s="51">
        <f t="shared" si="60"/>
        <v>19742978003424</v>
      </c>
      <c r="H136" s="52">
        <f t="shared" si="60"/>
        <v>20046108012507</v>
      </c>
      <c r="I136" s="52">
        <f t="shared" ref="I136:K144" si="62">I59*I111</f>
        <v>4469820998022</v>
      </c>
      <c r="J136" s="52">
        <f t="shared" si="62"/>
        <v>11363399995778</v>
      </c>
      <c r="K136" s="53">
        <f t="shared" si="62"/>
        <v>17540557391956.201</v>
      </c>
      <c r="L136" s="95">
        <f t="shared" ref="L136:L143" si="63">K136+J136</f>
        <v>28903957387734.203</v>
      </c>
      <c r="M136" s="218"/>
      <c r="O136" s="59"/>
      <c r="P136" s="35"/>
      <c r="AB136" s="14"/>
    </row>
    <row r="137" spans="1:28" ht="23.25" customHeight="1" thickBot="1">
      <c r="A137" s="14"/>
      <c r="B137" s="80" t="s">
        <v>64</v>
      </c>
      <c r="C137" s="91" t="s">
        <v>29</v>
      </c>
      <c r="D137" s="51">
        <f t="shared" si="60"/>
        <v>1429672996986</v>
      </c>
      <c r="E137" s="51">
        <f t="shared" si="60"/>
        <v>7002146994602</v>
      </c>
      <c r="F137" s="51">
        <f t="shared" si="60"/>
        <v>3902824002688</v>
      </c>
      <c r="G137" s="51">
        <f t="shared" si="60"/>
        <v>6949569001200</v>
      </c>
      <c r="H137" s="52">
        <f t="shared" si="60"/>
        <v>9837420995990</v>
      </c>
      <c r="I137" s="52">
        <f t="shared" si="62"/>
        <v>2484505001679</v>
      </c>
      <c r="J137" s="52">
        <f t="shared" si="62"/>
        <v>4931068998000</v>
      </c>
      <c r="K137" s="53">
        <f t="shared" si="62"/>
        <v>7611603815341.46</v>
      </c>
      <c r="L137" s="95">
        <f t="shared" si="63"/>
        <v>12542672813341.461</v>
      </c>
      <c r="M137" s="218"/>
      <c r="O137" s="59"/>
      <c r="P137" s="35"/>
      <c r="AB137" s="14"/>
    </row>
    <row r="138" spans="1:28" ht="23.25" customHeight="1" thickBot="1">
      <c r="A138" s="14"/>
      <c r="B138" s="43" t="s">
        <v>65</v>
      </c>
      <c r="C138" s="91" t="s">
        <v>29</v>
      </c>
      <c r="D138" s="51">
        <f t="shared" si="60"/>
        <v>3386852990454</v>
      </c>
      <c r="E138" s="51">
        <f t="shared" si="60"/>
        <v>2531905002627</v>
      </c>
      <c r="F138" s="51">
        <f t="shared" si="60"/>
        <v>8805844991319</v>
      </c>
      <c r="G138" s="51">
        <f t="shared" si="60"/>
        <v>15062567004989</v>
      </c>
      <c r="H138" s="52">
        <f t="shared" si="60"/>
        <v>21260826994242</v>
      </c>
      <c r="I138" s="52">
        <f t="shared" si="62"/>
        <v>4003892998464</v>
      </c>
      <c r="J138" s="52">
        <f t="shared" si="62"/>
        <v>6189459995547</v>
      </c>
      <c r="K138" s="53">
        <f t="shared" si="62"/>
        <v>9554057616333.6992</v>
      </c>
      <c r="L138" s="95">
        <f t="shared" si="63"/>
        <v>15743517611880.699</v>
      </c>
      <c r="M138" s="218"/>
      <c r="O138" s="59"/>
      <c r="P138" s="35"/>
      <c r="AB138" s="14"/>
    </row>
    <row r="139" spans="1:28" ht="23.25" customHeight="1" thickBot="1">
      <c r="A139" s="14"/>
      <c r="B139" s="43" t="s">
        <v>66</v>
      </c>
      <c r="C139" s="91" t="s">
        <v>29</v>
      </c>
      <c r="D139" s="51">
        <f t="shared" si="60"/>
        <v>78009999998</v>
      </c>
      <c r="E139" s="51">
        <f t="shared" si="60"/>
        <v>166365000025</v>
      </c>
      <c r="F139" s="51">
        <f t="shared" si="60"/>
        <v>257609000096</v>
      </c>
      <c r="G139" s="51">
        <f t="shared" si="60"/>
        <v>551322000264</v>
      </c>
      <c r="H139" s="52">
        <f t="shared" si="60"/>
        <v>3193296000000</v>
      </c>
      <c r="I139" s="52">
        <f t="shared" si="62"/>
        <v>166016000010</v>
      </c>
      <c r="J139" s="52">
        <f t="shared" si="62"/>
        <v>291609000132</v>
      </c>
      <c r="K139" s="53">
        <f t="shared" si="62"/>
        <v>450127990278.15179</v>
      </c>
      <c r="L139" s="95">
        <f t="shared" si="63"/>
        <v>741736990410.15186</v>
      </c>
      <c r="M139" s="218"/>
      <c r="O139" s="59"/>
      <c r="P139" s="35"/>
      <c r="AB139" s="14"/>
    </row>
    <row r="140" spans="1:28" ht="23.25" customHeight="1" thickBot="1">
      <c r="A140" s="14"/>
      <c r="B140" s="43" t="s">
        <v>67</v>
      </c>
      <c r="C140" s="91" t="s">
        <v>29</v>
      </c>
      <c r="D140" s="51">
        <f t="shared" si="60"/>
        <v>279152999996</v>
      </c>
      <c r="E140" s="51">
        <f t="shared" si="60"/>
        <v>543388000396</v>
      </c>
      <c r="F140" s="51">
        <f t="shared" si="60"/>
        <v>495960999768</v>
      </c>
      <c r="G140" s="51">
        <f t="shared" si="60"/>
        <v>347346000210</v>
      </c>
      <c r="H140" s="52">
        <f t="shared" si="60"/>
        <v>0</v>
      </c>
      <c r="I140" s="52">
        <f t="shared" si="62"/>
        <v>23741000020</v>
      </c>
      <c r="J140" s="52">
        <f t="shared" si="62"/>
        <v>687431000184</v>
      </c>
      <c r="K140" s="53">
        <f t="shared" si="62"/>
        <v>1061119287908.3156</v>
      </c>
      <c r="L140" s="95">
        <f t="shared" si="63"/>
        <v>1748550288092.3154</v>
      </c>
      <c r="M140" s="218"/>
      <c r="O140" s="59"/>
      <c r="P140" s="35"/>
      <c r="AB140" s="14"/>
    </row>
    <row r="141" spans="1:28" ht="23.25" customHeight="1" thickBot="1">
      <c r="A141" s="14"/>
      <c r="B141" s="43" t="s">
        <v>68</v>
      </c>
      <c r="C141" s="91" t="s">
        <v>29</v>
      </c>
      <c r="D141" s="51">
        <f t="shared" si="60"/>
        <v>1115867004588</v>
      </c>
      <c r="E141" s="51">
        <f t="shared" si="60"/>
        <v>1418370996421</v>
      </c>
      <c r="F141" s="51">
        <f t="shared" si="60"/>
        <v>1333958999672</v>
      </c>
      <c r="G141" s="51">
        <f t="shared" si="60"/>
        <v>1635775999830</v>
      </c>
      <c r="H141" s="52">
        <f t="shared" si="60"/>
        <v>899459001000</v>
      </c>
      <c r="I141" s="52">
        <f t="shared" si="62"/>
        <v>1200837997100</v>
      </c>
      <c r="J141" s="52">
        <f t="shared" si="62"/>
        <v>82585000134</v>
      </c>
      <c r="K141" s="53">
        <f t="shared" si="62"/>
        <v>127478301837.7731</v>
      </c>
      <c r="L141" s="95">
        <f t="shared" si="63"/>
        <v>210063301971.7731</v>
      </c>
      <c r="M141" s="218"/>
      <c r="O141" s="59"/>
      <c r="P141" s="35"/>
      <c r="AB141" s="14"/>
    </row>
    <row r="142" spans="1:28" ht="23.25" customHeight="1" thickBot="1">
      <c r="A142" s="14"/>
      <c r="B142" s="43" t="s">
        <v>69</v>
      </c>
      <c r="C142" s="91" t="s">
        <v>29</v>
      </c>
      <c r="D142" s="51">
        <f t="shared" si="60"/>
        <v>1016368992624</v>
      </c>
      <c r="E142" s="51">
        <f t="shared" si="60"/>
        <v>1379066996904</v>
      </c>
      <c r="F142" s="51">
        <f t="shared" si="60"/>
        <v>2703316007637</v>
      </c>
      <c r="G142" s="51">
        <f t="shared" si="60"/>
        <v>2645943002904</v>
      </c>
      <c r="H142" s="52">
        <f t="shared" si="60"/>
        <v>3000000000000</v>
      </c>
      <c r="I142" s="52">
        <f t="shared" si="62"/>
        <v>82585000134</v>
      </c>
      <c r="J142" s="52">
        <f t="shared" si="62"/>
        <v>2361063995520</v>
      </c>
      <c r="K142" s="53">
        <f t="shared" si="62"/>
        <v>3644541117525.3208</v>
      </c>
      <c r="L142" s="95">
        <f t="shared" si="63"/>
        <v>6005605113045.3203</v>
      </c>
      <c r="M142" s="218"/>
      <c r="O142" s="59"/>
      <c r="P142" s="35"/>
      <c r="AB142" s="14"/>
    </row>
    <row r="143" spans="1:28" ht="23.25" customHeight="1" thickBot="1">
      <c r="A143" s="14"/>
      <c r="B143" s="43" t="s">
        <v>70</v>
      </c>
      <c r="C143" s="91" t="s">
        <v>29</v>
      </c>
      <c r="D143" s="51">
        <f t="shared" si="60"/>
        <v>6508152013763</v>
      </c>
      <c r="E143" s="51">
        <f t="shared" si="60"/>
        <v>16746216965806</v>
      </c>
      <c r="F143" s="51">
        <f t="shared" si="60"/>
        <v>20039151983454</v>
      </c>
      <c r="G143" s="51">
        <f t="shared" si="60"/>
        <v>15008126014192</v>
      </c>
      <c r="H143" s="52">
        <f t="shared" si="60"/>
        <v>16000107000000</v>
      </c>
      <c r="I143" s="52">
        <f t="shared" si="62"/>
        <v>4858066003375</v>
      </c>
      <c r="J143" s="52">
        <f t="shared" si="62"/>
        <v>10516954993428</v>
      </c>
      <c r="K143" s="53">
        <f t="shared" si="62"/>
        <v>16233983906171.045</v>
      </c>
      <c r="L143" s="95">
        <f t="shared" si="63"/>
        <v>26750938899599.047</v>
      </c>
      <c r="M143" s="218"/>
      <c r="O143" s="59"/>
      <c r="P143" s="35"/>
      <c r="AB143" s="14"/>
    </row>
    <row r="144" spans="1:28" ht="23.25" customHeight="1" thickBot="1">
      <c r="A144" s="14"/>
      <c r="B144" s="43" t="s">
        <v>71</v>
      </c>
      <c r="C144" s="91" t="s">
        <v>29</v>
      </c>
      <c r="D144" s="51">
        <f t="shared" si="60"/>
        <v>1142789993558</v>
      </c>
      <c r="E144" s="51">
        <f t="shared" si="60"/>
        <v>3295594999424</v>
      </c>
      <c r="F144" s="51">
        <f t="shared" si="60"/>
        <v>4630650005769</v>
      </c>
      <c r="G144" s="51">
        <f t="shared" si="60"/>
        <v>2267345002880</v>
      </c>
      <c r="H144" s="52">
        <f t="shared" si="60"/>
        <v>7420540991000</v>
      </c>
      <c r="I144" s="52">
        <f t="shared" si="62"/>
        <v>1580023000985</v>
      </c>
      <c r="J144" s="52">
        <f t="shared" si="62"/>
        <v>2520425998447</v>
      </c>
      <c r="K144" s="53">
        <f t="shared" si="62"/>
        <v>3890532489779.8145</v>
      </c>
      <c r="L144" s="95">
        <f>K144+J144</f>
        <v>6410958488226.8145</v>
      </c>
      <c r="M144" s="218"/>
      <c r="O144" s="59"/>
      <c r="P144" s="35"/>
      <c r="AB144" s="14"/>
    </row>
    <row r="145" spans="1:29" ht="29.25" customHeight="1">
      <c r="A145" s="14"/>
      <c r="B145" s="202" t="s">
        <v>26</v>
      </c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18"/>
      <c r="O145" s="35"/>
      <c r="P145" s="35"/>
      <c r="AB145" s="14"/>
    </row>
    <row r="146" spans="1:29" ht="23.25" customHeight="1" thickBot="1">
      <c r="A146" s="14"/>
      <c r="B146" s="80" t="s">
        <v>71</v>
      </c>
      <c r="C146" s="91" t="s">
        <v>29</v>
      </c>
      <c r="D146" s="51">
        <f t="shared" ref="D146:H154" si="64">D69*D121</f>
        <v>3277282986978</v>
      </c>
      <c r="E146" s="51">
        <f t="shared" si="64"/>
        <v>5035487996487</v>
      </c>
      <c r="F146" s="51">
        <f t="shared" si="64"/>
        <v>5907676991864</v>
      </c>
      <c r="G146" s="51">
        <f t="shared" si="64"/>
        <v>9945873004977</v>
      </c>
      <c r="H146" s="52">
        <f t="shared" si="64"/>
        <v>17160000000000</v>
      </c>
      <c r="I146" s="52">
        <f t="shared" ref="I146:K146" si="65">I69*I121</f>
        <v>4369510004384</v>
      </c>
      <c r="J146" s="52">
        <f t="shared" si="65"/>
        <v>8631025006380</v>
      </c>
      <c r="K146" s="53">
        <f t="shared" si="65"/>
        <v>13322860194313.908</v>
      </c>
      <c r="L146" s="95">
        <f>K146+J146</f>
        <v>21953885200693.906</v>
      </c>
      <c r="M146" s="218"/>
      <c r="O146" s="59"/>
      <c r="P146" s="35"/>
      <c r="AB146" s="14"/>
    </row>
    <row r="147" spans="1:29" ht="23.25" customHeight="1" thickBot="1">
      <c r="A147" s="14"/>
      <c r="B147" s="80" t="s">
        <v>65</v>
      </c>
      <c r="C147" s="91" t="s">
        <v>29</v>
      </c>
      <c r="D147" s="51">
        <f t="shared" si="64"/>
        <v>0</v>
      </c>
      <c r="E147" s="51">
        <f t="shared" si="64"/>
        <v>10894999999</v>
      </c>
      <c r="F147" s="51">
        <f t="shared" si="64"/>
        <v>1876417997344</v>
      </c>
      <c r="G147" s="51">
        <f t="shared" si="64"/>
        <v>32532855000000</v>
      </c>
      <c r="H147" s="52">
        <f t="shared" si="64"/>
        <v>50341500000000</v>
      </c>
      <c r="I147" s="52">
        <f t="shared" ref="I147:K154" si="66">I70*I122</f>
        <v>15301733003855</v>
      </c>
      <c r="J147" s="52">
        <f t="shared" si="66"/>
        <v>27570690985158</v>
      </c>
      <c r="K147" s="53">
        <f t="shared" si="66"/>
        <v>42558150530715.617</v>
      </c>
      <c r="L147" s="95">
        <f t="shared" ref="L147:L154" si="67">K147+J147</f>
        <v>70128841515873.617</v>
      </c>
      <c r="M147" s="218"/>
      <c r="O147" s="59"/>
      <c r="P147" s="35"/>
      <c r="AB147" s="14"/>
    </row>
    <row r="148" spans="1:29" ht="23.25" customHeight="1" thickBot="1">
      <c r="A148" s="14"/>
      <c r="B148" s="80" t="s">
        <v>64</v>
      </c>
      <c r="C148" s="91" t="s">
        <v>29</v>
      </c>
      <c r="D148" s="51">
        <f t="shared" si="64"/>
        <v>25826999937</v>
      </c>
      <c r="E148" s="51">
        <f t="shared" si="64"/>
        <v>0</v>
      </c>
      <c r="F148" s="51">
        <f t="shared" si="64"/>
        <v>0</v>
      </c>
      <c r="G148" s="51">
        <f t="shared" si="64"/>
        <v>0</v>
      </c>
      <c r="H148" s="52">
        <f t="shared" si="64"/>
        <v>0</v>
      </c>
      <c r="I148" s="52">
        <f t="shared" si="66"/>
        <v>0</v>
      </c>
      <c r="J148" s="52">
        <f t="shared" si="66"/>
        <v>0</v>
      </c>
      <c r="K148" s="53">
        <f t="shared" si="66"/>
        <v>0</v>
      </c>
      <c r="L148" s="95">
        <f t="shared" si="67"/>
        <v>0</v>
      </c>
      <c r="M148" s="218"/>
      <c r="O148" s="59"/>
      <c r="P148" s="35"/>
      <c r="AB148" s="14"/>
    </row>
    <row r="149" spans="1:29" ht="23.25" customHeight="1" thickBot="1">
      <c r="A149" s="14"/>
      <c r="B149" s="80" t="s">
        <v>70</v>
      </c>
      <c r="C149" s="91" t="s">
        <v>29</v>
      </c>
      <c r="D149" s="51">
        <f t="shared" si="64"/>
        <v>26728906011593</v>
      </c>
      <c r="E149" s="51">
        <f t="shared" si="64"/>
        <v>40149997927200</v>
      </c>
      <c r="F149" s="51">
        <f t="shared" si="64"/>
        <v>54077446935658</v>
      </c>
      <c r="G149" s="51">
        <f t="shared" si="64"/>
        <v>52465067045211</v>
      </c>
      <c r="H149" s="52">
        <f t="shared" si="64"/>
        <v>35704101040000</v>
      </c>
      <c r="I149" s="52">
        <f t="shared" si="66"/>
        <v>2813644999935</v>
      </c>
      <c r="J149" s="52">
        <f t="shared" si="66"/>
        <v>16584409015790</v>
      </c>
      <c r="K149" s="53">
        <f t="shared" si="66"/>
        <v>25599712961017.156</v>
      </c>
      <c r="L149" s="95">
        <f t="shared" si="67"/>
        <v>42184121976807.156</v>
      </c>
      <c r="M149" s="218"/>
      <c r="O149" s="59"/>
      <c r="P149" s="35"/>
      <c r="AB149" s="14"/>
    </row>
    <row r="150" spans="1:29" ht="23.25" customHeight="1" thickBot="1">
      <c r="A150" s="14"/>
      <c r="B150" s="80" t="s">
        <v>63</v>
      </c>
      <c r="C150" s="91" t="s">
        <v>29</v>
      </c>
      <c r="D150" s="51">
        <f t="shared" si="64"/>
        <v>97285000240</v>
      </c>
      <c r="E150" s="51">
        <f t="shared" si="64"/>
        <v>172600000312</v>
      </c>
      <c r="F150" s="51">
        <f t="shared" si="64"/>
        <v>179903000023</v>
      </c>
      <c r="G150" s="51">
        <f t="shared" si="64"/>
        <v>84221999992</v>
      </c>
      <c r="H150" s="52">
        <f t="shared" si="64"/>
        <v>0</v>
      </c>
      <c r="I150" s="52">
        <f t="shared" si="66"/>
        <v>216524000036</v>
      </c>
      <c r="J150" s="52">
        <f t="shared" si="66"/>
        <v>330607999988</v>
      </c>
      <c r="K150" s="53">
        <f t="shared" si="66"/>
        <v>510326891615.53491</v>
      </c>
      <c r="L150" s="95">
        <f t="shared" si="67"/>
        <v>840934891603.53491</v>
      </c>
      <c r="M150" s="218"/>
      <c r="O150" s="59"/>
      <c r="P150" s="35"/>
      <c r="AB150" s="14"/>
    </row>
    <row r="151" spans="1:29" ht="23.25" customHeight="1" thickBot="1">
      <c r="A151" s="14"/>
      <c r="B151" s="80" t="s">
        <v>62</v>
      </c>
      <c r="C151" s="91" t="s">
        <v>29</v>
      </c>
      <c r="D151" s="51">
        <f t="shared" si="64"/>
        <v>2532236002602</v>
      </c>
      <c r="E151" s="51">
        <f t="shared" si="64"/>
        <v>2417718003394</v>
      </c>
      <c r="F151" s="51">
        <f t="shared" si="64"/>
        <v>3456433001217</v>
      </c>
      <c r="G151" s="51">
        <f t="shared" si="64"/>
        <v>2534074997985</v>
      </c>
      <c r="H151" s="52">
        <f t="shared" si="64"/>
        <v>8947950000000</v>
      </c>
      <c r="I151" s="52">
        <f t="shared" si="66"/>
        <v>1098269999838</v>
      </c>
      <c r="J151" s="52">
        <f t="shared" si="66"/>
        <v>1830250001064</v>
      </c>
      <c r="K151" s="53">
        <f t="shared" si="66"/>
        <v>2825176021016.4985</v>
      </c>
      <c r="L151" s="95">
        <f t="shared" si="67"/>
        <v>4655426022080.498</v>
      </c>
      <c r="M151" s="218"/>
      <c r="O151" s="59"/>
      <c r="P151" s="35"/>
      <c r="AB151" s="14"/>
    </row>
    <row r="152" spans="1:29" ht="23.25" customHeight="1" thickBot="1">
      <c r="A152" s="14"/>
      <c r="B152" s="80" t="s">
        <v>68</v>
      </c>
      <c r="C152" s="91" t="s">
        <v>29</v>
      </c>
      <c r="D152" s="51">
        <f t="shared" si="64"/>
        <v>1128483997344</v>
      </c>
      <c r="E152" s="51">
        <f t="shared" si="64"/>
        <v>2613600004542</v>
      </c>
      <c r="F152" s="51">
        <f t="shared" si="64"/>
        <v>3561007001265</v>
      </c>
      <c r="G152" s="51">
        <f t="shared" si="64"/>
        <v>6173464006552</v>
      </c>
      <c r="H152" s="52">
        <f t="shared" si="64"/>
        <v>1789200000000</v>
      </c>
      <c r="I152" s="52">
        <f t="shared" si="66"/>
        <v>694857000380</v>
      </c>
      <c r="J152" s="52">
        <f t="shared" si="66"/>
        <v>1380320001464</v>
      </c>
      <c r="K152" s="53">
        <f t="shared" si="66"/>
        <v>2130663552628.6167</v>
      </c>
      <c r="L152" s="95">
        <f t="shared" si="67"/>
        <v>3510983554092.6167</v>
      </c>
      <c r="M152" s="218"/>
      <c r="O152" s="59"/>
      <c r="P152" s="35"/>
      <c r="AB152" s="14"/>
    </row>
    <row r="153" spans="1:29" ht="23.25" customHeight="1" thickBot="1">
      <c r="A153" s="14"/>
      <c r="B153" s="80" t="s">
        <v>69</v>
      </c>
      <c r="C153" s="93"/>
      <c r="D153" s="51">
        <f t="shared" si="64"/>
        <v>8306846918188</v>
      </c>
      <c r="E153" s="51">
        <f t="shared" si="64"/>
        <v>15694620972800</v>
      </c>
      <c r="F153" s="51">
        <f t="shared" si="64"/>
        <v>24122411029350</v>
      </c>
      <c r="G153" s="51">
        <f t="shared" si="64"/>
        <v>31594724931940</v>
      </c>
      <c r="H153" s="52">
        <f t="shared" si="64"/>
        <v>29059800000000</v>
      </c>
      <c r="I153" s="52">
        <f t="shared" si="66"/>
        <v>8466435005045</v>
      </c>
      <c r="J153" s="52">
        <f t="shared" si="66"/>
        <v>15823263014070</v>
      </c>
      <c r="K153" s="53">
        <f t="shared" si="66"/>
        <v>24424807111378.133</v>
      </c>
      <c r="L153" s="95">
        <f t="shared" si="67"/>
        <v>40248070125448.133</v>
      </c>
      <c r="M153" s="218"/>
      <c r="O153" s="59"/>
      <c r="P153" s="35"/>
      <c r="AB153" s="14"/>
    </row>
    <row r="154" spans="1:29" ht="23.25" customHeight="1" thickBot="1">
      <c r="A154" s="14"/>
      <c r="B154" s="80" t="s">
        <v>73</v>
      </c>
      <c r="C154" s="94" t="s">
        <v>29</v>
      </c>
      <c r="D154" s="51">
        <f t="shared" si="64"/>
        <v>0</v>
      </c>
      <c r="E154" s="51">
        <f t="shared" si="64"/>
        <v>0</v>
      </c>
      <c r="F154" s="51">
        <f t="shared" si="64"/>
        <v>0</v>
      </c>
      <c r="G154" s="51">
        <f t="shared" si="64"/>
        <v>923036999128</v>
      </c>
      <c r="H154" s="52">
        <f t="shared" si="64"/>
        <v>0</v>
      </c>
      <c r="I154" s="52">
        <f t="shared" si="66"/>
        <v>0</v>
      </c>
      <c r="J154" s="52">
        <f t="shared" si="66"/>
        <v>0</v>
      </c>
      <c r="K154" s="53">
        <f t="shared" si="66"/>
        <v>0</v>
      </c>
      <c r="L154" s="95">
        <f t="shared" si="67"/>
        <v>0</v>
      </c>
      <c r="M154" s="218"/>
      <c r="O154" s="59"/>
      <c r="P154" s="35"/>
      <c r="AB154" s="14"/>
      <c r="AC154" s="14"/>
    </row>
    <row r="155" spans="1:29" ht="20.25" customHeight="1" thickBot="1">
      <c r="A155" s="14"/>
      <c r="B155" s="57" t="s">
        <v>27</v>
      </c>
      <c r="C155" s="94" t="s">
        <v>29</v>
      </c>
      <c r="D155" s="87">
        <f t="shared" ref="D155:F155" si="68">SUM(D135:D144,D146:D154)</f>
        <v>71803811884713</v>
      </c>
      <c r="E155" s="87">
        <f t="shared" si="68"/>
        <v>131977459837233</v>
      </c>
      <c r="F155" s="87">
        <f t="shared" si="68"/>
        <v>183544852990347</v>
      </c>
      <c r="G155" s="87">
        <f t="shared" ref="G155:K155" si="69">SUM(G135:G144,G146:G154)</f>
        <v>232581181032518</v>
      </c>
      <c r="H155" s="88">
        <f t="shared" si="69"/>
        <v>280692787018499</v>
      </c>
      <c r="I155" s="88">
        <f t="shared" si="69"/>
        <v>58481987018749</v>
      </c>
      <c r="J155" s="88">
        <f t="shared" si="69"/>
        <v>124777738991934</v>
      </c>
      <c r="K155" s="89">
        <f t="shared" si="69"/>
        <v>192607062396794.66</v>
      </c>
      <c r="L155" s="96">
        <f>SUM(L135:L144,L146:L154)</f>
        <v>317384801388728.69</v>
      </c>
      <c r="M155" s="218"/>
      <c r="O155" s="59"/>
      <c r="P155" s="35"/>
      <c r="AB155" s="14"/>
      <c r="AC155" s="14"/>
    </row>
    <row r="156" spans="1:29" ht="18">
      <c r="A156" s="1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AB156" s="14"/>
      <c r="AC156" s="14"/>
    </row>
    <row r="157" spans="1:29" ht="18.75" thickBot="1">
      <c r="A157" s="1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AB157" s="14"/>
      <c r="AC157" s="14"/>
    </row>
    <row r="158" spans="1:29" ht="44.25" customHeight="1">
      <c r="A158" s="14"/>
      <c r="B158" s="196" t="s">
        <v>95</v>
      </c>
      <c r="C158" s="197"/>
      <c r="D158" s="197"/>
      <c r="E158" s="197"/>
      <c r="F158" s="197"/>
      <c r="G158" s="197"/>
      <c r="H158" s="198"/>
      <c r="I158" s="198"/>
      <c r="J158" s="198"/>
      <c r="K158" s="198"/>
      <c r="L158" s="199"/>
      <c r="M158" s="35"/>
      <c r="N158" s="35"/>
      <c r="O158" s="35"/>
      <c r="P158" s="35"/>
      <c r="AB158" s="14"/>
      <c r="AC158" s="14"/>
    </row>
    <row r="159" spans="1:29" ht="28.5" customHeight="1">
      <c r="A159" s="14"/>
      <c r="B159" s="43" t="s">
        <v>0</v>
      </c>
      <c r="C159" s="80" t="s">
        <v>23</v>
      </c>
      <c r="D159" s="80">
        <v>1399</v>
      </c>
      <c r="E159" s="80">
        <v>1400</v>
      </c>
      <c r="F159" s="80">
        <v>1401</v>
      </c>
      <c r="G159" s="80">
        <v>1402</v>
      </c>
      <c r="H159" s="38" t="s">
        <v>74</v>
      </c>
      <c r="I159" s="38" t="s">
        <v>81</v>
      </c>
      <c r="J159" s="38" t="s">
        <v>87</v>
      </c>
      <c r="K159" s="170" t="s">
        <v>108</v>
      </c>
      <c r="L159" s="39" t="s">
        <v>75</v>
      </c>
      <c r="M159" s="35"/>
      <c r="N159" s="35"/>
      <c r="O159" s="35"/>
      <c r="P159" s="35"/>
      <c r="AB159" s="14"/>
      <c r="AC159" s="14"/>
    </row>
    <row r="160" spans="1:29" ht="32.25" customHeight="1">
      <c r="A160" s="14"/>
      <c r="B160" s="200" t="s">
        <v>24</v>
      </c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35"/>
      <c r="N160" s="35"/>
      <c r="O160" s="35"/>
      <c r="P160" s="35"/>
      <c r="AB160" s="14"/>
      <c r="AC160" s="14"/>
    </row>
    <row r="161" spans="1:29" ht="23.25" thickBot="1">
      <c r="A161" s="14"/>
      <c r="B161" s="43" t="s">
        <v>62</v>
      </c>
      <c r="C161" s="91" t="s">
        <v>29</v>
      </c>
      <c r="D161" s="97">
        <f>D110/D$118</f>
        <v>1.5255879227580016</v>
      </c>
      <c r="E161" s="97">
        <f t="shared" ref="E161:F161" si="70">E110/E$124</f>
        <v>1.5383986422274647</v>
      </c>
      <c r="F161" s="97">
        <f t="shared" si="70"/>
        <v>1.5964657288488637</v>
      </c>
      <c r="G161" s="97">
        <f>G110/G$124</f>
        <v>1.5158222932252838</v>
      </c>
      <c r="H161" s="98">
        <f t="shared" ref="H161:I161" si="71">H110/H$124</f>
        <v>1.5454031417338829</v>
      </c>
      <c r="I161" s="98">
        <f t="shared" si="71"/>
        <v>1.1955779832440527</v>
      </c>
      <c r="J161" s="98">
        <f>J110/J$124</f>
        <v>1.5014789703191502</v>
      </c>
      <c r="K161" s="99">
        <v>1.50147897031915</v>
      </c>
      <c r="L161" s="99"/>
      <c r="M161" s="218" t="s">
        <v>88</v>
      </c>
      <c r="N161" s="35"/>
      <c r="O161" s="35"/>
      <c r="P161" s="35"/>
      <c r="AB161" s="14"/>
      <c r="AC161" s="14"/>
    </row>
    <row r="162" spans="1:29" ht="23.25" thickBot="1">
      <c r="A162" s="14"/>
      <c r="B162" s="43" t="s">
        <v>63</v>
      </c>
      <c r="C162" s="91" t="s">
        <v>29</v>
      </c>
      <c r="D162" s="97">
        <f t="shared" ref="D162" si="72">D111/D$118</f>
        <v>1.3088047019960383</v>
      </c>
      <c r="E162" s="97">
        <f t="shared" ref="E162:G170" si="73">E111/E$124</f>
        <v>1.1442962402604544</v>
      </c>
      <c r="F162" s="97">
        <f t="shared" si="73"/>
        <v>1.158828068188432</v>
      </c>
      <c r="G162" s="97">
        <f t="shared" si="73"/>
        <v>1.0573167215043993</v>
      </c>
      <c r="H162" s="98">
        <f t="shared" ref="H162:J162" si="74">H111/H$124</f>
        <v>1.0168683233146036</v>
      </c>
      <c r="I162" s="98">
        <f t="shared" si="74"/>
        <v>0.86075360813924606</v>
      </c>
      <c r="J162" s="98">
        <f t="shared" si="74"/>
        <v>1.0326385012884474</v>
      </c>
      <c r="K162" s="99">
        <v>1.0326385012884474</v>
      </c>
      <c r="L162" s="99"/>
      <c r="M162" s="218"/>
      <c r="N162" s="35"/>
      <c r="O162" s="35"/>
      <c r="P162" s="35"/>
      <c r="AB162" s="14"/>
      <c r="AC162" s="14"/>
    </row>
    <row r="163" spans="1:29" ht="23.25" thickBot="1">
      <c r="A163" s="14"/>
      <c r="B163" s="80" t="s">
        <v>64</v>
      </c>
      <c r="C163" s="91" t="s">
        <v>29</v>
      </c>
      <c r="D163" s="97">
        <f t="shared" ref="D163" si="75">D112/D$118</f>
        <v>1.3727488287080354</v>
      </c>
      <c r="E163" s="97">
        <f t="shared" si="73"/>
        <v>1.3400455635099986</v>
      </c>
      <c r="F163" s="97">
        <f t="shared" si="73"/>
        <v>1.5199823721558954</v>
      </c>
      <c r="G163" s="97">
        <f t="shared" si="73"/>
        <v>1.4065014702798466</v>
      </c>
      <c r="H163" s="98">
        <f t="shared" ref="H163:J163" si="76">H112/H$124</f>
        <v>1.3871685839257866</v>
      </c>
      <c r="I163" s="98">
        <f t="shared" si="76"/>
        <v>1.1838312582496899</v>
      </c>
      <c r="J163" s="98">
        <f t="shared" si="76"/>
        <v>1.332524067849475</v>
      </c>
      <c r="K163" s="99">
        <v>1.332524067849475</v>
      </c>
      <c r="L163" s="99"/>
      <c r="M163" s="218"/>
      <c r="N163" s="35"/>
      <c r="O163" s="35"/>
      <c r="P163" s="35"/>
      <c r="AB163" s="14"/>
      <c r="AC163" s="14"/>
    </row>
    <row r="164" spans="1:29" ht="23.25" thickBot="1">
      <c r="A164" s="14"/>
      <c r="B164" s="43" t="s">
        <v>65</v>
      </c>
      <c r="C164" s="91" t="s">
        <v>29</v>
      </c>
      <c r="D164" s="97">
        <f t="shared" ref="D164" si="77">D113/D$118</f>
        <v>1.3844307493210177</v>
      </c>
      <c r="E164" s="97">
        <f t="shared" si="73"/>
        <v>1.4767650749389452</v>
      </c>
      <c r="F164" s="97">
        <f t="shared" si="73"/>
        <v>1.4332705080159662</v>
      </c>
      <c r="G164" s="97">
        <f t="shared" si="73"/>
        <v>1.6025852781734657</v>
      </c>
      <c r="H164" s="98">
        <f t="shared" ref="H164:J164" si="78">H113/H$124</f>
        <v>1.5368035805894638</v>
      </c>
      <c r="I164" s="98">
        <f t="shared" si="78"/>
        <v>1.4064856610508509</v>
      </c>
      <c r="J164" s="98">
        <f t="shared" si="78"/>
        <v>1.5175138965041477</v>
      </c>
      <c r="K164" s="99">
        <v>1.5175138965041477</v>
      </c>
      <c r="L164" s="99"/>
      <c r="M164" s="218"/>
      <c r="N164" s="35"/>
      <c r="O164" s="35"/>
      <c r="P164" s="35"/>
      <c r="AB164" s="14"/>
      <c r="AC164" s="14"/>
    </row>
    <row r="165" spans="1:29" ht="23.25" thickBot="1">
      <c r="A165" s="14"/>
      <c r="B165" s="43" t="s">
        <v>66</v>
      </c>
      <c r="C165" s="91" t="s">
        <v>29</v>
      </c>
      <c r="D165" s="97">
        <f t="shared" ref="D165" si="79">D114/D$118</f>
        <v>1.1058006750877769</v>
      </c>
      <c r="E165" s="97">
        <f t="shared" si="73"/>
        <v>1.0969872977792097</v>
      </c>
      <c r="F165" s="97">
        <f t="shared" si="73"/>
        <v>1.5995900502027181</v>
      </c>
      <c r="G165" s="97">
        <f t="shared" si="73"/>
        <v>1.526314105999518</v>
      </c>
      <c r="H165" s="98">
        <f t="shared" ref="H165:J165" si="80">H114/H$124</f>
        <v>3.5775117221660202</v>
      </c>
      <c r="I165" s="98">
        <f t="shared" si="80"/>
        <v>1.6962213513813058</v>
      </c>
      <c r="J165" s="98">
        <f t="shared" si="80"/>
        <v>1.8731522292656269</v>
      </c>
      <c r="K165" s="99">
        <v>1.8731522292656269</v>
      </c>
      <c r="L165" s="99"/>
      <c r="M165" s="218"/>
      <c r="N165" s="35"/>
      <c r="O165" s="35"/>
      <c r="P165" s="35"/>
      <c r="AB165" s="14"/>
      <c r="AC165" s="14"/>
    </row>
    <row r="166" spans="1:29" ht="23.25" thickBot="1">
      <c r="A166" s="14"/>
      <c r="B166" s="43" t="s">
        <v>67</v>
      </c>
      <c r="C166" s="91" t="s">
        <v>29</v>
      </c>
      <c r="D166" s="97">
        <f t="shared" ref="D166" si="81">D115/D$118</f>
        <v>1.4409091970274768</v>
      </c>
      <c r="E166" s="97">
        <f t="shared" si="73"/>
        <v>1.5223100008788086</v>
      </c>
      <c r="F166" s="97">
        <f t="shared" si="73"/>
        <v>1.5673981507650598</v>
      </c>
      <c r="G166" s="97">
        <f t="shared" si="73"/>
        <v>1.3939996855496608</v>
      </c>
      <c r="H166" s="98">
        <f t="shared" ref="H166:J166" si="82">H115/H$124</f>
        <v>0</v>
      </c>
      <c r="I166" s="98">
        <f t="shared" si="82"/>
        <v>1.0838096787229545</v>
      </c>
      <c r="J166" s="98">
        <f t="shared" si="82"/>
        <v>1.3789697410384698</v>
      </c>
      <c r="K166" s="99">
        <v>1.3789697410384698</v>
      </c>
      <c r="L166" s="99"/>
      <c r="M166" s="218"/>
      <c r="N166" s="35"/>
      <c r="O166" s="35"/>
      <c r="P166" s="35"/>
      <c r="AB166" s="14"/>
      <c r="AC166" s="14"/>
    </row>
    <row r="167" spans="1:29" ht="23.25" thickBot="1">
      <c r="A167" s="14"/>
      <c r="B167" s="43" t="s">
        <v>68</v>
      </c>
      <c r="C167" s="91" t="s">
        <v>29</v>
      </c>
      <c r="D167" s="97">
        <f t="shared" ref="D167" si="83">D116/D$118</f>
        <v>1.0412107779334006</v>
      </c>
      <c r="E167" s="97">
        <f t="shared" si="73"/>
        <v>0.90185633543232413</v>
      </c>
      <c r="F167" s="97">
        <f t="shared" si="73"/>
        <v>0.96251450279620465</v>
      </c>
      <c r="G167" s="97">
        <f t="shared" si="73"/>
        <v>0.83166448087115985</v>
      </c>
      <c r="H167" s="98">
        <f t="shared" ref="H167:J167" si="84">H116/H$124</f>
        <v>0.6717876283491494</v>
      </c>
      <c r="I167" s="98">
        <f t="shared" si="84"/>
        <v>0.40690721439678745</v>
      </c>
      <c r="J167" s="98">
        <f t="shared" si="84"/>
        <v>0.71120002281601669</v>
      </c>
      <c r="K167" s="99">
        <v>0.71120002281601669</v>
      </c>
      <c r="L167" s="99"/>
      <c r="M167" s="218"/>
      <c r="N167" s="35"/>
      <c r="O167" s="35"/>
      <c r="P167" s="35"/>
      <c r="AB167" s="14"/>
      <c r="AC167" s="14"/>
    </row>
    <row r="168" spans="1:29" ht="23.25" thickBot="1">
      <c r="A168" s="14"/>
      <c r="B168" s="43" t="s">
        <v>69</v>
      </c>
      <c r="C168" s="91" t="s">
        <v>29</v>
      </c>
      <c r="D168" s="97">
        <f t="shared" ref="D168" si="85">D117/D$118</f>
        <v>0.37467008788046369</v>
      </c>
      <c r="E168" s="97">
        <f t="shared" si="73"/>
        <v>0.37968044024013992</v>
      </c>
      <c r="F168" s="97">
        <f t="shared" si="73"/>
        <v>0.40326472252175399</v>
      </c>
      <c r="G168" s="97">
        <f t="shared" si="73"/>
        <v>0.45388307137904715</v>
      </c>
      <c r="H168" s="98">
        <f t="shared" ref="H168:J168" si="86">H117/H$124</f>
        <v>0.33609584474781107</v>
      </c>
      <c r="I168" s="98">
        <f t="shared" si="86"/>
        <v>0.64906830353089651</v>
      </c>
      <c r="J168" s="98">
        <f t="shared" si="86"/>
        <v>0.4564859538450895</v>
      </c>
      <c r="K168" s="99">
        <v>0.4564859538450895</v>
      </c>
      <c r="L168" s="99"/>
      <c r="M168" s="218"/>
      <c r="N168" s="35"/>
      <c r="O168" s="35"/>
      <c r="P168" s="35"/>
      <c r="AB168" s="14"/>
      <c r="AC168" s="14"/>
    </row>
    <row r="169" spans="1:29" ht="23.25" thickBot="1">
      <c r="A169" s="14"/>
      <c r="B169" s="43" t="s">
        <v>70</v>
      </c>
      <c r="C169" s="91" t="s">
        <v>29</v>
      </c>
      <c r="D169" s="97">
        <f t="shared" ref="D169" si="87">D118/D$118</f>
        <v>1</v>
      </c>
      <c r="E169" s="97">
        <f t="shared" si="73"/>
        <v>1.0273620860432411</v>
      </c>
      <c r="F169" s="97">
        <f t="shared" si="73"/>
        <v>0.98978446104949647</v>
      </c>
      <c r="G169" s="97">
        <f t="shared" si="73"/>
        <v>0.78543053947818076</v>
      </c>
      <c r="H169" s="98">
        <f t="shared" ref="H169:J169" si="88">H118/H$124</f>
        <v>0.71700926376271534</v>
      </c>
      <c r="I169" s="98">
        <f t="shared" si="88"/>
        <v>0.76503054374689305</v>
      </c>
      <c r="J169" s="98">
        <f t="shared" si="88"/>
        <v>0.8136565647496008</v>
      </c>
      <c r="K169" s="99">
        <v>0.8136565647496008</v>
      </c>
      <c r="L169" s="99"/>
      <c r="M169" s="218"/>
      <c r="N169" s="35"/>
      <c r="O169" s="35"/>
      <c r="P169" s="35"/>
      <c r="AB169" s="14"/>
      <c r="AC169" s="14"/>
    </row>
    <row r="170" spans="1:29" ht="23.25" thickBot="1">
      <c r="A170" s="14"/>
      <c r="B170" s="43" t="s">
        <v>71</v>
      </c>
      <c r="C170" s="91" t="s">
        <v>29</v>
      </c>
      <c r="D170" s="97">
        <f t="shared" ref="D170" si="89">D119/D$118</f>
        <v>0.74429576982071977</v>
      </c>
      <c r="E170" s="97">
        <f t="shared" si="73"/>
        <v>1.0211043927528065</v>
      </c>
      <c r="F170" s="97">
        <f t="shared" si="73"/>
        <v>0.9166496463233198</v>
      </c>
      <c r="G170" s="97">
        <f t="shared" si="73"/>
        <v>0.88852550996839241</v>
      </c>
      <c r="H170" s="98">
        <f t="shared" ref="H170:J170" si="90">H119/H$124</f>
        <v>0.7229023167698273</v>
      </c>
      <c r="I170" s="98">
        <f t="shared" si="90"/>
        <v>0.76856079339964933</v>
      </c>
      <c r="J170" s="98">
        <f t="shared" si="90"/>
        <v>0.83072056503749525</v>
      </c>
      <c r="K170" s="99">
        <v>0.83072056503749525</v>
      </c>
      <c r="L170" s="99"/>
      <c r="M170" s="218"/>
      <c r="N170" s="35"/>
      <c r="O170" s="35"/>
      <c r="P170" s="35"/>
      <c r="AB170" s="14"/>
      <c r="AC170" s="14"/>
    </row>
    <row r="171" spans="1:29" ht="27.75" customHeight="1">
      <c r="A171" s="14"/>
      <c r="B171" s="202" t="s">
        <v>26</v>
      </c>
      <c r="C171" s="203"/>
      <c r="D171" s="203"/>
      <c r="E171" s="203"/>
      <c r="F171" s="203"/>
      <c r="G171" s="203"/>
      <c r="H171" s="203"/>
      <c r="I171" s="203"/>
      <c r="J171" s="203"/>
      <c r="K171" s="203"/>
      <c r="L171" s="203"/>
      <c r="M171" s="35"/>
      <c r="N171" s="35"/>
      <c r="O171" s="35"/>
      <c r="P171" s="35"/>
      <c r="AB171" s="14"/>
      <c r="AC171" s="14"/>
    </row>
    <row r="172" spans="1:29" ht="23.25" thickBot="1">
      <c r="A172" s="14"/>
      <c r="B172" s="80" t="s">
        <v>71</v>
      </c>
      <c r="C172" s="91" t="s">
        <v>29</v>
      </c>
      <c r="D172" s="97">
        <f>D121/D$124</f>
        <v>0.8786513761130289</v>
      </c>
      <c r="E172" s="97">
        <f t="shared" ref="E172:F172" si="91">E121/E$124</f>
        <v>0.95792791595897842</v>
      </c>
      <c r="F172" s="97">
        <f t="shared" si="91"/>
        <v>1.0308689293990185</v>
      </c>
      <c r="G172" s="97">
        <f>G121/G$124</f>
        <v>1.0609862481465764</v>
      </c>
      <c r="H172" s="98">
        <f>H121/H$124</f>
        <v>0.98588114459357912</v>
      </c>
      <c r="I172" s="98">
        <f t="shared" ref="I172" si="92">I121/I$124</f>
        <v>1.0085292481331349</v>
      </c>
      <c r="J172" s="98">
        <f>J121/J$124</f>
        <v>1.0653419490425164</v>
      </c>
      <c r="K172" s="99">
        <v>1.0653419490425164</v>
      </c>
      <c r="L172" s="99"/>
      <c r="M172" s="218" t="s">
        <v>88</v>
      </c>
      <c r="N172" s="35"/>
      <c r="O172" s="35"/>
      <c r="P172" s="35"/>
      <c r="AB172" s="14"/>
      <c r="AC172" s="14"/>
    </row>
    <row r="173" spans="1:29" ht="23.25" thickBot="1">
      <c r="A173" s="14"/>
      <c r="B173" s="80" t="s">
        <v>65</v>
      </c>
      <c r="C173" s="91" t="s">
        <v>29</v>
      </c>
      <c r="D173" s="97">
        <f t="shared" ref="D173:D180" si="93">D122/D$124</f>
        <v>0</v>
      </c>
      <c r="E173" s="97">
        <f t="shared" ref="E173:G180" si="94">E122/E$124</f>
        <v>1.204574535708147</v>
      </c>
      <c r="F173" s="97">
        <f t="shared" si="94"/>
        <v>1.0301964650679034</v>
      </c>
      <c r="G173" s="97">
        <f t="shared" si="94"/>
        <v>0.98183925505651337</v>
      </c>
      <c r="H173" s="98">
        <f t="shared" ref="H173:J173" si="95">H122/H$124</f>
        <v>0.99820465890099885</v>
      </c>
      <c r="I173" s="98">
        <f t="shared" si="95"/>
        <v>1.0210428782889696</v>
      </c>
      <c r="J173" s="98">
        <f t="shared" si="95"/>
        <v>1.040129416053738</v>
      </c>
      <c r="K173" s="99">
        <v>1.040129416053738</v>
      </c>
      <c r="L173" s="99"/>
      <c r="M173" s="218"/>
      <c r="N173" s="35"/>
      <c r="O173" s="35"/>
      <c r="P173" s="35"/>
      <c r="AB173" s="14"/>
      <c r="AC173" s="14"/>
    </row>
    <row r="174" spans="1:29" ht="23.25" thickBot="1">
      <c r="A174" s="14"/>
      <c r="B174" s="80" t="s">
        <v>64</v>
      </c>
      <c r="C174" s="91" t="s">
        <v>29</v>
      </c>
      <c r="D174" s="97">
        <f t="shared" si="93"/>
        <v>1.053081021555788</v>
      </c>
      <c r="E174" s="97">
        <f t="shared" si="94"/>
        <v>0</v>
      </c>
      <c r="F174" s="97">
        <f t="shared" si="94"/>
        <v>0</v>
      </c>
      <c r="G174" s="97">
        <f t="shared" si="94"/>
        <v>0</v>
      </c>
      <c r="H174" s="98">
        <f t="shared" ref="H174:J174" si="96">H123/H$124</f>
        <v>0</v>
      </c>
      <c r="I174" s="98">
        <f t="shared" si="96"/>
        <v>0</v>
      </c>
      <c r="J174" s="98">
        <f t="shared" si="96"/>
        <v>0</v>
      </c>
      <c r="K174" s="99">
        <v>0</v>
      </c>
      <c r="L174" s="99"/>
      <c r="M174" s="218"/>
      <c r="N174" s="35"/>
      <c r="O174" s="35"/>
      <c r="P174" s="35"/>
      <c r="AB174" s="14"/>
      <c r="AC174" s="14"/>
    </row>
    <row r="175" spans="1:29" ht="23.25" thickBot="1">
      <c r="A175" s="14"/>
      <c r="B175" s="80" t="s">
        <v>70</v>
      </c>
      <c r="C175" s="91" t="s">
        <v>29</v>
      </c>
      <c r="D175" s="97">
        <f t="shared" si="93"/>
        <v>1</v>
      </c>
      <c r="E175" s="97">
        <f t="shared" si="94"/>
        <v>1</v>
      </c>
      <c r="F175" s="97">
        <f t="shared" si="94"/>
        <v>1</v>
      </c>
      <c r="G175" s="97">
        <f t="shared" si="94"/>
        <v>1</v>
      </c>
      <c r="H175" s="98">
        <f t="shared" ref="H175:I175" si="97">H124/H$124</f>
        <v>1</v>
      </c>
      <c r="I175" s="98">
        <f t="shared" si="97"/>
        <v>1</v>
      </c>
      <c r="J175" s="98">
        <f>J124/J$124</f>
        <v>1</v>
      </c>
      <c r="K175" s="99">
        <v>1</v>
      </c>
      <c r="L175" s="99"/>
      <c r="M175" s="218"/>
      <c r="N175" s="35"/>
      <c r="O175" s="35"/>
      <c r="P175" s="35"/>
      <c r="AB175" s="14"/>
      <c r="AC175" s="14"/>
    </row>
    <row r="176" spans="1:29" ht="23.25" thickBot="1">
      <c r="A176" s="14"/>
      <c r="B176" s="80" t="s">
        <v>63</v>
      </c>
      <c r="C176" s="91" t="s">
        <v>29</v>
      </c>
      <c r="D176" s="97">
        <f t="shared" si="93"/>
        <v>1.4576136947102094</v>
      </c>
      <c r="E176" s="97">
        <f t="shared" si="94"/>
        <v>1.2283983624444366</v>
      </c>
      <c r="F176" s="97">
        <f t="shared" si="94"/>
        <v>1.2178580753000492</v>
      </c>
      <c r="G176" s="97">
        <f t="shared" si="94"/>
        <v>1.7783213497370414</v>
      </c>
      <c r="H176" s="98">
        <f t="shared" ref="H176:J176" si="98">H125/H$124</f>
        <v>0</v>
      </c>
      <c r="I176" s="98">
        <f t="shared" si="98"/>
        <v>1.3993289931181638</v>
      </c>
      <c r="J176" s="98">
        <f t="shared" si="98"/>
        <v>1.4610159633569431</v>
      </c>
      <c r="K176" s="99">
        <v>1.4610159633569431</v>
      </c>
      <c r="L176" s="99"/>
      <c r="M176" s="218"/>
      <c r="N176" s="35"/>
      <c r="O176" s="35"/>
      <c r="P176" s="35"/>
      <c r="AB176" s="14"/>
      <c r="AC176" s="14"/>
    </row>
    <row r="177" spans="1:29" ht="23.25" thickBot="1">
      <c r="A177" s="14"/>
      <c r="B177" s="80" t="s">
        <v>62</v>
      </c>
      <c r="C177" s="91" t="s">
        <v>29</v>
      </c>
      <c r="D177" s="97">
        <f t="shared" si="93"/>
        <v>1.1051945291713952</v>
      </c>
      <c r="E177" s="97">
        <f t="shared" si="94"/>
        <v>1.0715248885782513</v>
      </c>
      <c r="F177" s="97">
        <f t="shared" si="94"/>
        <v>1.0946012032860173</v>
      </c>
      <c r="G177" s="97">
        <f t="shared" si="94"/>
        <v>1.3633450441549384</v>
      </c>
      <c r="H177" s="98">
        <f t="shared" ref="H177:J177" si="99">H126/H$124</f>
        <v>1.3366083617827449</v>
      </c>
      <c r="I177" s="98">
        <f t="shared" si="99"/>
        <v>1.2527724660386901</v>
      </c>
      <c r="J177" s="98">
        <f t="shared" si="99"/>
        <v>1.3272436016334874</v>
      </c>
      <c r="K177" s="99">
        <v>1.3272436016334874</v>
      </c>
      <c r="L177" s="99"/>
      <c r="M177" s="218"/>
      <c r="N177" s="35"/>
      <c r="O177" s="35"/>
      <c r="P177" s="35"/>
      <c r="AB177" s="14"/>
      <c r="AC177" s="14"/>
    </row>
    <row r="178" spans="1:29" ht="23.25" thickBot="1">
      <c r="A178" s="14"/>
      <c r="B178" s="80" t="s">
        <v>68</v>
      </c>
      <c r="C178" s="91" t="s">
        <v>29</v>
      </c>
      <c r="D178" s="97">
        <f t="shared" si="93"/>
        <v>0.96824435370520379</v>
      </c>
      <c r="E178" s="97">
        <f t="shared" si="94"/>
        <v>0.87862425574327163</v>
      </c>
      <c r="F178" s="97">
        <f t="shared" si="94"/>
        <v>0.87735927793499668</v>
      </c>
      <c r="G178" s="97">
        <f t="shared" si="94"/>
        <v>0.7986376319791757</v>
      </c>
      <c r="H178" s="98">
        <f t="shared" ref="H178:J178" si="100">H127/H$124</f>
        <v>0.66815853935864844</v>
      </c>
      <c r="I178" s="98">
        <f t="shared" si="100"/>
        <v>0.83058265762809025</v>
      </c>
      <c r="J178" s="98">
        <f t="shared" si="100"/>
        <v>0.93681779777004093</v>
      </c>
      <c r="K178" s="99">
        <v>0.93681779777004093</v>
      </c>
      <c r="L178" s="99"/>
      <c r="M178" s="218"/>
      <c r="N178" s="35"/>
      <c r="O178" s="35"/>
      <c r="P178" s="35"/>
      <c r="AB178" s="14"/>
      <c r="AC178" s="14"/>
    </row>
    <row r="179" spans="1:29" ht="23.25" thickBot="1">
      <c r="A179" s="14"/>
      <c r="B179" s="80" t="s">
        <v>69</v>
      </c>
      <c r="C179" s="93"/>
      <c r="D179" s="97">
        <f t="shared" si="93"/>
        <v>0.37481603306614036</v>
      </c>
      <c r="E179" s="97">
        <f t="shared" si="94"/>
        <v>0.39188513216586557</v>
      </c>
      <c r="F179" s="97">
        <f t="shared" si="94"/>
        <v>0.39589156974158662</v>
      </c>
      <c r="G179" s="97">
        <f t="shared" si="94"/>
        <v>0.43472163826810323</v>
      </c>
      <c r="H179" s="98">
        <f t="shared" ref="H179:J179" si="101">H128/H$124</f>
        <v>0.34819529515873227</v>
      </c>
      <c r="I179" s="98">
        <f t="shared" si="101"/>
        <v>0.36880952600877959</v>
      </c>
      <c r="J179" s="98">
        <f t="shared" si="101"/>
        <v>0.40248567250993095</v>
      </c>
      <c r="K179" s="99">
        <v>0.40248567250993095</v>
      </c>
      <c r="L179" s="99"/>
      <c r="M179" s="218"/>
      <c r="N179" s="35"/>
      <c r="O179" s="35"/>
      <c r="P179" s="35"/>
      <c r="AB179" s="14"/>
      <c r="AC179" s="14"/>
    </row>
    <row r="180" spans="1:29" ht="23.25" thickBot="1">
      <c r="A180" s="14"/>
      <c r="B180" s="80" t="s">
        <v>73</v>
      </c>
      <c r="C180" s="94" t="s">
        <v>29</v>
      </c>
      <c r="D180" s="97">
        <f t="shared" si="93"/>
        <v>0</v>
      </c>
      <c r="E180" s="97">
        <f t="shared" si="94"/>
        <v>0</v>
      </c>
      <c r="F180" s="97">
        <f t="shared" si="94"/>
        <v>0</v>
      </c>
      <c r="G180" s="97">
        <f t="shared" si="94"/>
        <v>0.77472906202135838</v>
      </c>
      <c r="H180" s="98">
        <f t="shared" ref="H180:J180" si="102">H129/H$124</f>
        <v>0</v>
      </c>
      <c r="I180" s="98">
        <f t="shared" si="102"/>
        <v>0</v>
      </c>
      <c r="J180" s="98">
        <f t="shared" si="102"/>
        <v>0</v>
      </c>
      <c r="K180" s="99">
        <v>0</v>
      </c>
      <c r="L180" s="99"/>
      <c r="M180" s="218"/>
      <c r="N180" s="35"/>
      <c r="O180" s="35"/>
      <c r="P180" s="35"/>
      <c r="AB180" s="14"/>
      <c r="AC180" s="14"/>
    </row>
    <row r="181" spans="1:29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AB181" s="14"/>
      <c r="AC181" s="14"/>
    </row>
    <row r="182" spans="1:29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AB182" s="14"/>
      <c r="AC182" s="14"/>
    </row>
    <row r="183" spans="1:29">
      <c r="A183" s="14"/>
      <c r="B183" s="14"/>
      <c r="C183" s="14"/>
      <c r="D183" s="14"/>
      <c r="E183" s="14"/>
      <c r="F183" s="14"/>
      <c r="G183" s="14"/>
      <c r="H183" s="228">
        <f>D117/'بهای تمام شده'!D21</f>
        <v>0.71376786929392455</v>
      </c>
      <c r="I183" s="228">
        <f>E117/'بهای تمام شده'!E21</f>
        <v>0.74865726476239125</v>
      </c>
      <c r="J183" s="228">
        <f>F117/'بهای تمام شده'!F21</f>
        <v>0.81164994041374661</v>
      </c>
      <c r="K183" s="228">
        <f>G117/'بهای تمام شده'!G21</f>
        <v>0.99300488993507996</v>
      </c>
      <c r="L183" s="228">
        <f>H117/'بهای تمام شده'!H21</f>
        <v>0.76687988125754625</v>
      </c>
      <c r="M183" s="228">
        <f>I117/'بهای تمام شده'!I21</f>
        <v>1.4625355425263888</v>
      </c>
      <c r="N183" s="228">
        <f>J117/'بهای تمام شده'!J21</f>
        <v>0.90025602475736854</v>
      </c>
      <c r="O183" s="228">
        <f>K117/'بهای تمام شده'!K21</f>
        <v>0.79768712550421295</v>
      </c>
      <c r="P183" s="228">
        <f>L117/'بهای تمام شده'!L21</f>
        <v>0.84916243889065868</v>
      </c>
      <c r="AB183" s="14"/>
      <c r="AC183" s="14"/>
    </row>
    <row r="184" spans="1:29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AB184" s="14"/>
      <c r="AC184" s="14"/>
    </row>
    <row r="185" spans="1:29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AB185" s="14"/>
      <c r="AC185" s="14"/>
    </row>
    <row r="186" spans="1:29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AB186" s="14"/>
      <c r="AC186" s="14"/>
    </row>
    <row r="187" spans="1:29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AB187" s="14"/>
      <c r="AC187" s="14"/>
    </row>
    <row r="188" spans="1:29">
      <c r="A188" s="15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5"/>
      <c r="N188" s="14"/>
      <c r="O188" s="14"/>
      <c r="AB188" s="14"/>
      <c r="AC188" s="14"/>
    </row>
    <row r="189" spans="1:29">
      <c r="L189" s="33"/>
      <c r="AB189" s="14"/>
      <c r="AC189" s="14"/>
    </row>
    <row r="190" spans="1:29">
      <c r="L190" s="33"/>
      <c r="AB190" s="14"/>
      <c r="AC190" s="14"/>
    </row>
    <row r="191" spans="1:29">
      <c r="L191" s="33"/>
      <c r="AB191" s="14"/>
      <c r="AC191" s="14"/>
    </row>
  </sheetData>
  <mergeCells count="34">
    <mergeCell ref="M32:M41"/>
    <mergeCell ref="M44:M52"/>
    <mergeCell ref="M84:M93"/>
    <mergeCell ref="B171:L171"/>
    <mergeCell ref="M172:M180"/>
    <mergeCell ref="M161:M170"/>
    <mergeCell ref="B132:L132"/>
    <mergeCell ref="B134:L134"/>
    <mergeCell ref="B145:L145"/>
    <mergeCell ref="B158:L158"/>
    <mergeCell ref="B160:L160"/>
    <mergeCell ref="M96:M104"/>
    <mergeCell ref="M135:M155"/>
    <mergeCell ref="N54:P69"/>
    <mergeCell ref="B120:L120"/>
    <mergeCell ref="M110:M119"/>
    <mergeCell ref="M121:M128"/>
    <mergeCell ref="N110:N119"/>
    <mergeCell ref="N121:N128"/>
    <mergeCell ref="B83:L83"/>
    <mergeCell ref="B109:L109"/>
    <mergeCell ref="B57:L57"/>
    <mergeCell ref="B81:L81"/>
    <mergeCell ref="B94:L95"/>
    <mergeCell ref="B107:L107"/>
    <mergeCell ref="B68:L68"/>
    <mergeCell ref="B3:L3"/>
    <mergeCell ref="B55:L55"/>
    <mergeCell ref="B16:L16"/>
    <mergeCell ref="B5:L5"/>
    <mergeCell ref="B29:L29"/>
    <mergeCell ref="B42:L43"/>
    <mergeCell ref="B26:C26"/>
    <mergeCell ref="B31:L31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AA95"/>
  <sheetViews>
    <sheetView rightToLeft="1" tabSelected="1" topLeftCell="A13" zoomScale="110" zoomScaleNormal="110" workbookViewId="0">
      <pane xSplit="2" topLeftCell="E1" activePane="topRight" state="frozenSplit"/>
      <selection activeCell="M80" sqref="M80"/>
      <selection pane="topRight" activeCell="K21" sqref="K21"/>
    </sheetView>
  </sheetViews>
  <sheetFormatPr defaultColWidth="9.140625" defaultRowHeight="14.25"/>
  <cols>
    <col min="1" max="1" width="9.140625" style="14"/>
    <col min="2" max="2" width="23.140625" style="14" bestFit="1" customWidth="1"/>
    <col min="3" max="3" width="9.140625" style="14"/>
    <col min="4" max="4" width="20.140625" style="14" bestFit="1" customWidth="1"/>
    <col min="5" max="5" width="20.5703125" style="14" bestFit="1" customWidth="1"/>
    <col min="6" max="6" width="20.140625" style="14" bestFit="1" customWidth="1"/>
    <col min="7" max="7" width="20.85546875" style="14" bestFit="1" customWidth="1"/>
    <col min="8" max="8" width="20.7109375" style="14" bestFit="1" customWidth="1"/>
    <col min="9" max="9" width="21" style="14" hidden="1" customWidth="1"/>
    <col min="10" max="10" width="20.42578125" style="14" bestFit="1" customWidth="1"/>
    <col min="11" max="11" width="23.85546875" style="14" bestFit="1" customWidth="1"/>
    <col min="12" max="12" width="22.5703125" style="14" bestFit="1" customWidth="1"/>
    <col min="13" max="13" width="72.28515625" style="14" bestFit="1" customWidth="1"/>
    <col min="14" max="14" width="23.140625" style="14" bestFit="1" customWidth="1"/>
    <col min="15" max="16384" width="9.140625" style="14"/>
  </cols>
  <sheetData>
    <row r="3" spans="2:27" ht="33" customHeight="1">
      <c r="B3" s="219" t="s">
        <v>30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35"/>
      <c r="N3" s="35"/>
      <c r="O3" s="35"/>
    </row>
    <row r="4" spans="2:27" ht="45.75" thickBot="1">
      <c r="B4" s="37" t="s">
        <v>0</v>
      </c>
      <c r="C4" s="37" t="s">
        <v>23</v>
      </c>
      <c r="D4" s="37">
        <v>1399</v>
      </c>
      <c r="E4" s="37">
        <v>1400</v>
      </c>
      <c r="F4" s="37">
        <v>1401</v>
      </c>
      <c r="G4" s="37">
        <v>1402</v>
      </c>
      <c r="H4" s="101" t="s">
        <v>74</v>
      </c>
      <c r="I4" s="101" t="s">
        <v>84</v>
      </c>
      <c r="J4" s="52" t="s">
        <v>87</v>
      </c>
      <c r="K4" s="170" t="s">
        <v>108</v>
      </c>
      <c r="L4" s="39" t="s">
        <v>75</v>
      </c>
      <c r="M4" s="100"/>
      <c r="N4" s="173"/>
      <c r="O4" s="35"/>
    </row>
    <row r="5" spans="2:27" ht="19.5">
      <c r="B5" s="102" t="s">
        <v>76</v>
      </c>
      <c r="C5" s="103" t="s">
        <v>25</v>
      </c>
      <c r="D5" s="104">
        <v>614431</v>
      </c>
      <c r="E5" s="104">
        <v>588141</v>
      </c>
      <c r="F5" s="104">
        <v>570949</v>
      </c>
      <c r="G5" s="104">
        <v>597226</v>
      </c>
      <c r="H5" s="105">
        <v>538893</v>
      </c>
      <c r="I5" s="105">
        <v>153595</v>
      </c>
      <c r="J5" s="105">
        <v>316701</v>
      </c>
      <c r="K5" s="106">
        <f>$K$9*K14</f>
        <v>316701</v>
      </c>
      <c r="L5" s="106">
        <f>K5+J5</f>
        <v>633402</v>
      </c>
      <c r="M5" s="35"/>
      <c r="N5" s="35"/>
      <c r="O5" s="35"/>
    </row>
    <row r="6" spans="2:27" ht="19.5">
      <c r="B6" s="102" t="s">
        <v>77</v>
      </c>
      <c r="C6" s="103" t="s">
        <v>25</v>
      </c>
      <c r="D6" s="104">
        <v>74517</v>
      </c>
      <c r="E6" s="104">
        <v>100772</v>
      </c>
      <c r="F6" s="104">
        <v>113383</v>
      </c>
      <c r="G6" s="104">
        <v>119718</v>
      </c>
      <c r="H6" s="105">
        <v>104023</v>
      </c>
      <c r="I6" s="105">
        <v>25292</v>
      </c>
      <c r="J6" s="105">
        <v>45421</v>
      </c>
      <c r="K6" s="106">
        <f t="shared" ref="K6:K7" si="0">$K$9*K15</f>
        <v>45421</v>
      </c>
      <c r="L6" s="106">
        <f t="shared" ref="L6" si="1">K6+J6</f>
        <v>90842</v>
      </c>
      <c r="M6" s="35"/>
      <c r="N6" s="35"/>
      <c r="O6" s="35"/>
    </row>
    <row r="7" spans="2:27" ht="19.5">
      <c r="B7" s="102" t="s">
        <v>78</v>
      </c>
      <c r="C7" s="103" t="s">
        <v>25</v>
      </c>
      <c r="D7" s="104">
        <v>1</v>
      </c>
      <c r="E7" s="104">
        <v>1</v>
      </c>
      <c r="F7" s="104">
        <v>1</v>
      </c>
      <c r="G7" s="104">
        <v>1</v>
      </c>
      <c r="H7" s="107">
        <v>1</v>
      </c>
      <c r="I7" s="107">
        <v>1</v>
      </c>
      <c r="J7" s="107">
        <v>1</v>
      </c>
      <c r="K7" s="106">
        <f t="shared" si="0"/>
        <v>1</v>
      </c>
      <c r="L7" s="106">
        <v>2</v>
      </c>
      <c r="M7" s="35"/>
      <c r="N7" s="35"/>
      <c r="O7" s="35"/>
    </row>
    <row r="8" spans="2:27" ht="19.5">
      <c r="B8" s="102" t="s">
        <v>31</v>
      </c>
      <c r="C8" s="103" t="s">
        <v>25</v>
      </c>
      <c r="D8" s="108">
        <f t="shared" ref="D8:I8" si="2">SUM(D5:D7)</f>
        <v>688949</v>
      </c>
      <c r="E8" s="108">
        <f t="shared" si="2"/>
        <v>688914</v>
      </c>
      <c r="F8" s="108">
        <f t="shared" si="2"/>
        <v>684333</v>
      </c>
      <c r="G8" s="108">
        <f t="shared" si="2"/>
        <v>716945</v>
      </c>
      <c r="H8" s="109">
        <f t="shared" si="2"/>
        <v>642917</v>
      </c>
      <c r="I8" s="109">
        <f t="shared" si="2"/>
        <v>178888</v>
      </c>
      <c r="J8" s="109">
        <f>SUM(J5:J7)</f>
        <v>362123</v>
      </c>
      <c r="K8" s="110">
        <f>SUM(K5:K7)</f>
        <v>362123</v>
      </c>
      <c r="L8" s="110">
        <f>SUM(L5:L7)</f>
        <v>724246</v>
      </c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</row>
    <row r="9" spans="2:27" ht="28.5" customHeight="1">
      <c r="B9" s="102" t="s">
        <v>57</v>
      </c>
      <c r="C9" s="103" t="s">
        <v>25</v>
      </c>
      <c r="D9" s="108">
        <f>درآمد!D26</f>
        <v>704947</v>
      </c>
      <c r="E9" s="108">
        <f>درآمد!E26</f>
        <v>720972</v>
      </c>
      <c r="F9" s="108">
        <f>درآمد!F26</f>
        <v>720917</v>
      </c>
      <c r="G9" s="108">
        <f>درآمد!G26</f>
        <v>741138</v>
      </c>
      <c r="H9" s="109">
        <f>درآمد!H26</f>
        <v>677383</v>
      </c>
      <c r="I9" s="109">
        <f>درآمد!I26</f>
        <v>182356</v>
      </c>
      <c r="J9" s="109">
        <f>درآمد!J26</f>
        <v>371230</v>
      </c>
      <c r="K9" s="110">
        <f>درآمد!K26</f>
        <v>371230</v>
      </c>
      <c r="L9" s="110">
        <f>مفروضات!D3</f>
        <v>742460</v>
      </c>
      <c r="M9" s="111"/>
      <c r="N9" s="35"/>
      <c r="O9" s="35"/>
    </row>
    <row r="10" spans="2:27" ht="19.5">
      <c r="B10" s="112"/>
      <c r="C10" s="81"/>
      <c r="D10" s="50"/>
      <c r="E10" s="50"/>
      <c r="F10" s="79"/>
      <c r="G10" s="35"/>
      <c r="H10" s="35"/>
      <c r="I10" s="35"/>
      <c r="J10" s="35"/>
      <c r="K10" s="35"/>
      <c r="L10" s="35"/>
      <c r="M10" s="35"/>
      <c r="N10" s="35"/>
      <c r="O10" s="35"/>
    </row>
    <row r="11" spans="2:27" ht="18">
      <c r="B11" s="77"/>
      <c r="C11" s="77"/>
      <c r="D11" s="77"/>
      <c r="E11" s="77"/>
      <c r="F11" s="35"/>
      <c r="G11" s="35"/>
      <c r="H11" s="35"/>
      <c r="I11" s="35"/>
      <c r="J11" s="35"/>
      <c r="K11" s="35"/>
      <c r="L11" s="35"/>
      <c r="M11" s="113"/>
      <c r="N11" s="113"/>
      <c r="O11" s="35"/>
    </row>
    <row r="12" spans="2:27" ht="39" customHeight="1">
      <c r="B12" s="219" t="s">
        <v>32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114"/>
      <c r="N12" s="114">
        <f>J23/درآمد!J78</f>
        <v>44518583.671762131</v>
      </c>
      <c r="O12" s="35"/>
    </row>
    <row r="13" spans="2:27" ht="45.75" thickBot="1">
      <c r="B13" s="37" t="s">
        <v>0</v>
      </c>
      <c r="C13" s="37" t="s">
        <v>23</v>
      </c>
      <c r="D13" s="37">
        <v>1399</v>
      </c>
      <c r="E13" s="37">
        <v>1400</v>
      </c>
      <c r="F13" s="37">
        <v>1401</v>
      </c>
      <c r="G13" s="37">
        <v>1402</v>
      </c>
      <c r="H13" s="101" t="s">
        <v>74</v>
      </c>
      <c r="I13" s="101" t="s">
        <v>84</v>
      </c>
      <c r="J13" s="52" t="s">
        <v>87</v>
      </c>
      <c r="K13" s="170" t="s">
        <v>108</v>
      </c>
      <c r="L13" s="39" t="s">
        <v>75</v>
      </c>
      <c r="M13" s="35"/>
      <c r="N13" s="35"/>
      <c r="O13" s="35"/>
    </row>
    <row r="14" spans="2:27" ht="19.5">
      <c r="B14" s="102" t="s">
        <v>76</v>
      </c>
      <c r="C14" s="103"/>
      <c r="D14" s="115">
        <f>D5/$D$9</f>
        <v>0.87159885778647184</v>
      </c>
      <c r="E14" s="115">
        <f>E5/$E$9</f>
        <v>0.81576122234982773</v>
      </c>
      <c r="F14" s="115">
        <f>F5/$F$9</f>
        <v>0.79197605272174187</v>
      </c>
      <c r="G14" s="115">
        <f>G5/$G$9</f>
        <v>0.80582293715880171</v>
      </c>
      <c r="H14" s="116">
        <f>H5/$H$9</f>
        <v>0.7955514088779907</v>
      </c>
      <c r="I14" s="116">
        <f>I5/$I$9</f>
        <v>0.84228103270525789</v>
      </c>
      <c r="J14" s="116">
        <f>J5/$J$9</f>
        <v>0.85311262559599166</v>
      </c>
      <c r="K14" s="117">
        <v>0.85311262559599166</v>
      </c>
      <c r="L14" s="117"/>
      <c r="M14" s="222" t="s">
        <v>88</v>
      </c>
      <c r="N14" s="35"/>
      <c r="O14" s="35"/>
    </row>
    <row r="15" spans="2:27" ht="19.5">
      <c r="B15" s="102" t="s">
        <v>77</v>
      </c>
      <c r="C15" s="103"/>
      <c r="D15" s="115">
        <f>D6/$D$9</f>
        <v>0.10570581901901845</v>
      </c>
      <c r="E15" s="115">
        <f>E6/$E$9</f>
        <v>0.13977241834634355</v>
      </c>
      <c r="F15" s="115">
        <f>F6/$F$9</f>
        <v>0.15727608032547435</v>
      </c>
      <c r="G15" s="115">
        <f t="shared" ref="G15:G16" si="3">G6/$G$9</f>
        <v>0.16153267002906341</v>
      </c>
      <c r="H15" s="116">
        <f t="shared" ref="H15" si="4">H6/$H$9</f>
        <v>0.15356600328027128</v>
      </c>
      <c r="I15" s="116">
        <f>I6/$I$9</f>
        <v>0.13869573800697538</v>
      </c>
      <c r="J15" s="116">
        <f>J6/$J$9</f>
        <v>0.12235271933841554</v>
      </c>
      <c r="K15" s="117">
        <v>0.12235271933841554</v>
      </c>
      <c r="L15" s="117"/>
      <c r="M15" s="222"/>
      <c r="N15" s="35"/>
      <c r="O15" s="35"/>
    </row>
    <row r="16" spans="2:27" ht="19.5">
      <c r="B16" s="102" t="s">
        <v>78</v>
      </c>
      <c r="C16" s="103"/>
      <c r="D16" s="115">
        <f>D7/$D$9</f>
        <v>1.4185463588042788E-6</v>
      </c>
      <c r="E16" s="118">
        <f>E7/$E$9</f>
        <v>1.3870164167263084E-6</v>
      </c>
      <c r="F16" s="118">
        <f>F7/$F$9</f>
        <v>1.3871222345984351E-6</v>
      </c>
      <c r="G16" s="118">
        <f t="shared" si="3"/>
        <v>1.3492763830757564E-6</v>
      </c>
      <c r="H16" s="119">
        <f t="shared" ref="H16" si="5">H7/$H$9</f>
        <v>1.4762697026645191E-6</v>
      </c>
      <c r="I16" s="119">
        <f>I7/$I$9</f>
        <v>5.4837789817719187E-6</v>
      </c>
      <c r="J16" s="119">
        <f>J7/$J$9</f>
        <v>2.6937478113299033E-6</v>
      </c>
      <c r="K16" s="171">
        <v>2.6937478113299033E-6</v>
      </c>
      <c r="L16" s="117"/>
      <c r="M16" s="222"/>
      <c r="N16" s="35"/>
      <c r="O16" s="35"/>
    </row>
    <row r="17" spans="2:15" ht="18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2:15" ht="21" customHeight="1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2:15" ht="35.25" customHeight="1">
      <c r="B19" s="219" t="s">
        <v>33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35"/>
      <c r="N19" s="120"/>
      <c r="O19" s="35"/>
    </row>
    <row r="20" spans="2:15" ht="45">
      <c r="B20" s="37" t="s">
        <v>0</v>
      </c>
      <c r="C20" s="37" t="s">
        <v>23</v>
      </c>
      <c r="D20" s="37">
        <v>1399</v>
      </c>
      <c r="E20" s="37">
        <v>1400</v>
      </c>
      <c r="F20" s="37">
        <v>1401</v>
      </c>
      <c r="G20" s="37">
        <v>1402</v>
      </c>
      <c r="H20" s="101" t="s">
        <v>74</v>
      </c>
      <c r="I20" s="101" t="s">
        <v>84</v>
      </c>
      <c r="J20" s="101" t="s">
        <v>87</v>
      </c>
      <c r="K20" s="170" t="s">
        <v>108</v>
      </c>
      <c r="L20" s="39" t="s">
        <v>75</v>
      </c>
      <c r="M20" s="35"/>
      <c r="N20" s="35"/>
      <c r="O20" s="35"/>
    </row>
    <row r="21" spans="2:15" ht="19.5">
      <c r="B21" s="102" t="s">
        <v>76</v>
      </c>
      <c r="C21" s="103" t="s">
        <v>29</v>
      </c>
      <c r="D21" s="121">
        <f>(D34/D5)*1000000</f>
        <v>56278117.477796525</v>
      </c>
      <c r="E21" s="121">
        <v>106674418</v>
      </c>
      <c r="F21" s="121">
        <v>140872257</v>
      </c>
      <c r="G21" s="121">
        <v>161548566</v>
      </c>
      <c r="H21" s="122">
        <v>195597777</v>
      </c>
      <c r="I21" s="122">
        <v>206838842</v>
      </c>
      <c r="J21" s="122">
        <v>215679142</v>
      </c>
      <c r="K21" s="123">
        <f>مفروضات!D4*مفروضات!D8*1.15*0.95</f>
        <v>312455000</v>
      </c>
      <c r="L21" s="123">
        <f>L34/L5*1000000</f>
        <v>264067071.07808307</v>
      </c>
      <c r="M21" s="35" t="s">
        <v>102</v>
      </c>
      <c r="N21" s="35"/>
    </row>
    <row r="22" spans="2:15" ht="19.5">
      <c r="B22" s="102" t="s">
        <v>77</v>
      </c>
      <c r="C22" s="103" t="s">
        <v>29</v>
      </c>
      <c r="D22" s="121">
        <f>(D35/D6)*1000000</f>
        <v>69279587.208288029</v>
      </c>
      <c r="E22" s="121">
        <v>129187433</v>
      </c>
      <c r="F22" s="121">
        <v>176179657</v>
      </c>
      <c r="G22" s="121">
        <v>186079311</v>
      </c>
      <c r="H22" s="122">
        <v>252994722</v>
      </c>
      <c r="I22" s="122">
        <v>231349597</v>
      </c>
      <c r="J22" s="122">
        <v>246728628</v>
      </c>
      <c r="K22" s="123">
        <f>K21*K28</f>
        <v>357436480.62982368</v>
      </c>
      <c r="L22" s="123">
        <f>L35/L6*1000000</f>
        <v>302082554.17854315</v>
      </c>
      <c r="M22" s="35" t="s">
        <v>85</v>
      </c>
      <c r="N22" s="35"/>
    </row>
    <row r="23" spans="2:15" ht="19.5">
      <c r="B23" s="102" t="s">
        <v>78</v>
      </c>
      <c r="C23" s="151" t="s">
        <v>29</v>
      </c>
      <c r="D23" s="152">
        <f>(D36/D7)*1000000</f>
        <v>9783229000000</v>
      </c>
      <c r="E23" s="152">
        <v>17317056000000</v>
      </c>
      <c r="F23" s="152">
        <v>23779254000000</v>
      </c>
      <c r="G23" s="152">
        <v>33799622000000</v>
      </c>
      <c r="H23" s="153">
        <v>46315566000000</v>
      </c>
      <c r="I23" s="153">
        <v>7613165000000</v>
      </c>
      <c r="J23" s="153">
        <v>15007081000000</v>
      </c>
      <c r="K23" s="172">
        <f>K21*K29</f>
        <v>19004837549110.84</v>
      </c>
      <c r="L23" s="123">
        <f>L36/L7*1000000</f>
        <v>17005959274555.422</v>
      </c>
      <c r="M23" s="221" t="s">
        <v>93</v>
      </c>
      <c r="N23" s="35"/>
    </row>
    <row r="24" spans="2:15" ht="19.5">
      <c r="B24" s="124"/>
      <c r="C24" s="125"/>
      <c r="D24" s="126"/>
      <c r="E24" s="126"/>
      <c r="F24" s="126"/>
      <c r="G24" s="126"/>
      <c r="H24" s="126"/>
      <c r="I24" s="126"/>
      <c r="J24" s="126"/>
      <c r="K24" s="126"/>
      <c r="L24" s="126"/>
      <c r="M24" s="221"/>
      <c r="N24" s="35"/>
      <c r="O24" s="35"/>
    </row>
    <row r="25" spans="2:15" ht="19.5">
      <c r="B25" s="124"/>
      <c r="C25" s="125"/>
      <c r="D25" s="127"/>
      <c r="E25" s="127"/>
      <c r="F25" s="127"/>
      <c r="G25" s="35"/>
      <c r="H25" s="35"/>
      <c r="I25" s="35"/>
      <c r="J25" s="35"/>
      <c r="K25" s="35"/>
      <c r="L25" s="35"/>
      <c r="M25" s="35"/>
      <c r="N25" s="35"/>
      <c r="O25" s="35"/>
    </row>
    <row r="26" spans="2:15" ht="36.75" customHeight="1">
      <c r="B26" s="219" t="s">
        <v>79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35"/>
      <c r="N26" s="35"/>
      <c r="O26" s="35"/>
    </row>
    <row r="27" spans="2:15" ht="45">
      <c r="B27" s="37" t="s">
        <v>0</v>
      </c>
      <c r="C27" s="37" t="s">
        <v>23</v>
      </c>
      <c r="D27" s="37">
        <v>1399</v>
      </c>
      <c r="E27" s="37">
        <v>1400</v>
      </c>
      <c r="F27" s="37">
        <v>1401</v>
      </c>
      <c r="G27" s="37">
        <v>1402</v>
      </c>
      <c r="H27" s="101" t="s">
        <v>74</v>
      </c>
      <c r="I27" s="101" t="s">
        <v>84</v>
      </c>
      <c r="J27" s="101" t="s">
        <v>87</v>
      </c>
      <c r="K27" s="170" t="s">
        <v>108</v>
      </c>
      <c r="L27" s="39" t="s">
        <v>75</v>
      </c>
      <c r="M27" s="35"/>
      <c r="N27" s="35"/>
      <c r="O27" s="35"/>
    </row>
    <row r="28" spans="2:15" ht="19.5">
      <c r="B28" s="102" t="s">
        <v>77</v>
      </c>
      <c r="C28" s="103"/>
      <c r="D28" s="115">
        <f t="shared" ref="D28:H28" si="6">D22/D21</f>
        <v>1.2310217596674407</v>
      </c>
      <c r="E28" s="115">
        <f t="shared" si="6"/>
        <v>1.2110441793082949</v>
      </c>
      <c r="F28" s="115">
        <f t="shared" si="6"/>
        <v>1.2506341614161829</v>
      </c>
      <c r="G28" s="115">
        <f t="shared" si="6"/>
        <v>1.1518474945794319</v>
      </c>
      <c r="H28" s="116">
        <f t="shared" si="6"/>
        <v>1.2934437491076394</v>
      </c>
      <c r="I28" s="116">
        <f>I22/I21</f>
        <v>1.1185017028861532</v>
      </c>
      <c r="J28" s="116">
        <f>J22/J21</f>
        <v>1.1439614684668951</v>
      </c>
      <c r="K28" s="117">
        <v>1.1439614684668951</v>
      </c>
      <c r="L28" s="117"/>
      <c r="M28" s="223" t="s">
        <v>88</v>
      </c>
      <c r="N28" s="35"/>
      <c r="O28" s="35"/>
    </row>
    <row r="29" spans="2:15" ht="19.5">
      <c r="B29" s="102" t="s">
        <v>78</v>
      </c>
      <c r="C29" s="103"/>
      <c r="D29" s="128">
        <f>D23/D21</f>
        <v>173837.17577013464</v>
      </c>
      <c r="E29" s="128">
        <f>E23/E21</f>
        <v>162335.60327462954</v>
      </c>
      <c r="F29" s="128">
        <f t="shared" ref="F29" si="7">F23/F21</f>
        <v>168800.12080732119</v>
      </c>
      <c r="G29" s="128">
        <f>G23/G21</f>
        <v>209222.66806131849</v>
      </c>
      <c r="H29" s="129">
        <f>H23/H22</f>
        <v>183069.29739032264</v>
      </c>
      <c r="I29" s="129">
        <f>I23/I22</f>
        <v>32907.621619933059</v>
      </c>
      <c r="J29" s="129">
        <f>J23/J22</f>
        <v>60824.238847548731</v>
      </c>
      <c r="K29" s="130">
        <v>60824.238847548731</v>
      </c>
      <c r="L29" s="130"/>
      <c r="M29" s="223"/>
      <c r="N29" s="35"/>
      <c r="O29" s="35"/>
    </row>
    <row r="30" spans="2:15" ht="18">
      <c r="B30" s="35"/>
      <c r="C30" s="35"/>
      <c r="D30" s="35"/>
      <c r="E30" s="35"/>
      <c r="F30" s="35"/>
      <c r="G30" s="126"/>
      <c r="H30" s="126"/>
      <c r="I30" s="126"/>
      <c r="J30" s="126"/>
      <c r="K30" s="126"/>
      <c r="L30" s="126"/>
      <c r="M30" s="35"/>
      <c r="N30" s="35"/>
      <c r="O30" s="35"/>
    </row>
    <row r="31" spans="2:15" ht="19.5">
      <c r="B31" s="112"/>
      <c r="C31" s="131"/>
      <c r="D31" s="50"/>
      <c r="E31" s="50"/>
      <c r="F31" s="79"/>
      <c r="G31" s="126"/>
      <c r="H31" s="126"/>
      <c r="I31" s="126"/>
      <c r="J31" s="126"/>
      <c r="K31" s="126"/>
      <c r="L31" s="126"/>
      <c r="M31" s="35"/>
      <c r="N31" s="35"/>
      <c r="O31" s="35"/>
    </row>
    <row r="32" spans="2:15" ht="36" customHeight="1">
      <c r="B32" s="219" t="s">
        <v>34</v>
      </c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35"/>
      <c r="N32" s="35"/>
      <c r="O32" s="35"/>
    </row>
    <row r="33" spans="2:15" ht="45">
      <c r="B33" s="37" t="s">
        <v>0</v>
      </c>
      <c r="C33" s="37" t="s">
        <v>23</v>
      </c>
      <c r="D33" s="37">
        <v>1399</v>
      </c>
      <c r="E33" s="37">
        <v>1400</v>
      </c>
      <c r="F33" s="37">
        <v>1401</v>
      </c>
      <c r="G33" s="37">
        <v>1402</v>
      </c>
      <c r="H33" s="101" t="s">
        <v>74</v>
      </c>
      <c r="I33" s="101" t="s">
        <v>84</v>
      </c>
      <c r="J33" s="101" t="s">
        <v>87</v>
      </c>
      <c r="K33" s="170" t="s">
        <v>108</v>
      </c>
      <c r="L33" s="39" t="s">
        <v>75</v>
      </c>
      <c r="M33" s="35"/>
      <c r="N33" s="35"/>
      <c r="O33" s="35"/>
    </row>
    <row r="34" spans="2:15" ht="19.5">
      <c r="B34" s="132" t="s">
        <v>76</v>
      </c>
      <c r="C34" s="133" t="s">
        <v>37</v>
      </c>
      <c r="D34" s="134">
        <v>34579020</v>
      </c>
      <c r="E34" s="134">
        <v>62739599</v>
      </c>
      <c r="F34" s="134">
        <v>80430874</v>
      </c>
      <c r="G34" s="134">
        <v>96481004</v>
      </c>
      <c r="H34" s="135">
        <v>105406273</v>
      </c>
      <c r="I34" s="135">
        <v>31769412</v>
      </c>
      <c r="J34" s="135">
        <v>68305800</v>
      </c>
      <c r="K34" s="136">
        <f>K21*K5/1000000</f>
        <v>98954810.954999998</v>
      </c>
      <c r="L34" s="136">
        <f>K34+J34</f>
        <v>167260610.95499998</v>
      </c>
      <c r="M34" s="220" t="s">
        <v>89</v>
      </c>
      <c r="N34" s="35"/>
      <c r="O34" s="35"/>
    </row>
    <row r="35" spans="2:15" ht="19.5">
      <c r="B35" s="132" t="s">
        <v>77</v>
      </c>
      <c r="C35" s="133" t="s">
        <v>37</v>
      </c>
      <c r="D35" s="134">
        <v>5162507</v>
      </c>
      <c r="E35" s="134">
        <v>13018476</v>
      </c>
      <c r="F35" s="134">
        <v>19975778</v>
      </c>
      <c r="G35" s="134">
        <v>22277043</v>
      </c>
      <c r="H35" s="135">
        <v>26317270</v>
      </c>
      <c r="I35" s="135">
        <v>5851294</v>
      </c>
      <c r="J35" s="135">
        <v>11206661</v>
      </c>
      <c r="K35" s="136">
        <f>K22*K6/1000000</f>
        <v>16235122.386687221</v>
      </c>
      <c r="L35" s="136">
        <f t="shared" ref="L35" si="8">K35+J35</f>
        <v>27441783.386687219</v>
      </c>
      <c r="M35" s="220"/>
      <c r="N35" s="35"/>
      <c r="O35" s="35"/>
    </row>
    <row r="36" spans="2:15" ht="19.5">
      <c r="B36" s="132" t="s">
        <v>78</v>
      </c>
      <c r="C36" s="133" t="s">
        <v>37</v>
      </c>
      <c r="D36" s="134">
        <v>9783229</v>
      </c>
      <c r="E36" s="134">
        <v>17317056</v>
      </c>
      <c r="F36" s="134">
        <v>23779254</v>
      </c>
      <c r="G36" s="134">
        <v>33799622</v>
      </c>
      <c r="H36" s="135">
        <v>46315566</v>
      </c>
      <c r="I36" s="135">
        <v>7613165</v>
      </c>
      <c r="J36" s="135">
        <v>15007081</v>
      </c>
      <c r="K36" s="136">
        <f>K23*K7/1000000</f>
        <v>19004837.549110841</v>
      </c>
      <c r="L36" s="136">
        <f>K36+J36</f>
        <v>34011918.549110845</v>
      </c>
      <c r="M36" s="220"/>
      <c r="N36" s="35"/>
      <c r="O36" s="35"/>
    </row>
    <row r="37" spans="2:15" ht="29.25" customHeight="1">
      <c r="B37" s="137" t="s">
        <v>41</v>
      </c>
      <c r="C37" s="133" t="s">
        <v>37</v>
      </c>
      <c r="D37" s="138">
        <f t="shared" ref="D37:H37" si="9">SUM(D34:D36)</f>
        <v>49524756</v>
      </c>
      <c r="E37" s="139">
        <f t="shared" si="9"/>
        <v>93075131</v>
      </c>
      <c r="F37" s="138">
        <f t="shared" si="9"/>
        <v>124185906</v>
      </c>
      <c r="G37" s="138">
        <f t="shared" si="9"/>
        <v>152557669</v>
      </c>
      <c r="H37" s="140">
        <f t="shared" si="9"/>
        <v>178039109</v>
      </c>
      <c r="I37" s="140">
        <f>SUM(I34:I36)</f>
        <v>45233871</v>
      </c>
      <c r="J37" s="140">
        <f>SUM(J34:J36)</f>
        <v>94519542</v>
      </c>
      <c r="K37" s="141">
        <f>SUM(K34:K36)</f>
        <v>134194770.89079806</v>
      </c>
      <c r="L37" s="141">
        <f>SUM(L34:L36)</f>
        <v>228714312.89079803</v>
      </c>
      <c r="M37" s="35"/>
      <c r="N37" s="35"/>
      <c r="O37" s="35"/>
    </row>
    <row r="38" spans="2:15" ht="19.5">
      <c r="B38" s="142"/>
      <c r="C38" s="143"/>
      <c r="D38" s="144"/>
      <c r="E38" s="145"/>
      <c r="F38" s="144"/>
      <c r="G38" s="144"/>
      <c r="H38" s="144"/>
      <c r="I38" s="144"/>
      <c r="J38" s="144"/>
      <c r="K38" s="144"/>
      <c r="L38" s="144"/>
      <c r="M38" s="35"/>
      <c r="N38" s="35"/>
      <c r="O38" s="35"/>
    </row>
    <row r="39" spans="2:15" ht="18">
      <c r="B39" s="35"/>
      <c r="C39" s="35"/>
      <c r="D39" s="35"/>
      <c r="E39" s="35"/>
      <c r="F39" s="35"/>
      <c r="G39" s="126"/>
      <c r="H39" s="126"/>
      <c r="I39" s="126"/>
      <c r="J39" s="126"/>
      <c r="K39" s="126"/>
      <c r="L39" s="126"/>
      <c r="M39" s="35"/>
      <c r="N39" s="35"/>
      <c r="O39" s="35"/>
    </row>
    <row r="40" spans="2:15" ht="37.5" customHeight="1">
      <c r="B40" s="219" t="s">
        <v>42</v>
      </c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35"/>
      <c r="N40" s="35"/>
      <c r="O40" s="35"/>
    </row>
    <row r="41" spans="2:15" ht="45">
      <c r="B41" s="37" t="s">
        <v>0</v>
      </c>
      <c r="C41" s="37" t="s">
        <v>23</v>
      </c>
      <c r="D41" s="37">
        <v>1399</v>
      </c>
      <c r="E41" s="37">
        <v>1400</v>
      </c>
      <c r="F41" s="37">
        <v>1401</v>
      </c>
      <c r="G41" s="37">
        <v>1402</v>
      </c>
      <c r="H41" s="101" t="s">
        <v>74</v>
      </c>
      <c r="I41" s="101" t="s">
        <v>84</v>
      </c>
      <c r="J41" s="101" t="s">
        <v>87</v>
      </c>
      <c r="K41" s="170" t="s">
        <v>108</v>
      </c>
      <c r="L41" s="180" t="s">
        <v>75</v>
      </c>
      <c r="M41" s="224" t="s">
        <v>88</v>
      </c>
      <c r="N41" s="35"/>
      <c r="O41" s="35"/>
    </row>
    <row r="42" spans="2:15" ht="24" customHeight="1">
      <c r="B42" s="146" t="s">
        <v>43</v>
      </c>
      <c r="C42" s="133" t="s">
        <v>37</v>
      </c>
      <c r="D42" s="134">
        <v>857744</v>
      </c>
      <c r="E42" s="134">
        <v>1497073</v>
      </c>
      <c r="F42" s="134">
        <v>2601372</v>
      </c>
      <c r="G42" s="134">
        <v>3568029</v>
      </c>
      <c r="H42" s="135">
        <v>4460036</v>
      </c>
      <c r="I42" s="135">
        <v>1503141</v>
      </c>
      <c r="J42" s="135">
        <v>2556647</v>
      </c>
      <c r="K42" s="136">
        <f>J42</f>
        <v>2556647</v>
      </c>
      <c r="L42" s="181">
        <f>K42+J42</f>
        <v>5113294</v>
      </c>
      <c r="M42" s="225"/>
      <c r="N42" s="35"/>
      <c r="O42" s="35"/>
    </row>
    <row r="43" spans="2:15" ht="19.5">
      <c r="B43" s="146" t="s">
        <v>44</v>
      </c>
      <c r="C43" s="133" t="s">
        <v>37</v>
      </c>
      <c r="D43" s="134">
        <v>119259</v>
      </c>
      <c r="E43" s="134">
        <v>2655113</v>
      </c>
      <c r="F43" s="134">
        <v>4044295</v>
      </c>
      <c r="G43" s="134">
        <v>4373870</v>
      </c>
      <c r="H43" s="135">
        <v>5248644</v>
      </c>
      <c r="I43" s="135">
        <v>1137559</v>
      </c>
      <c r="J43" s="135">
        <v>2267978</v>
      </c>
      <c r="K43" s="136">
        <f t="shared" ref="K43:K45" si="10">J43</f>
        <v>2267978</v>
      </c>
      <c r="L43" s="181">
        <f t="shared" ref="L43:L45" si="11">K43+J43</f>
        <v>4535956</v>
      </c>
      <c r="M43" s="225"/>
      <c r="N43" s="35"/>
      <c r="O43" s="35"/>
    </row>
    <row r="44" spans="2:15" ht="19.5">
      <c r="B44" s="146" t="s">
        <v>45</v>
      </c>
      <c r="C44" s="133" t="s">
        <v>37</v>
      </c>
      <c r="D44" s="134">
        <v>1191404</v>
      </c>
      <c r="E44" s="134">
        <v>1820679</v>
      </c>
      <c r="F44" s="134">
        <v>2517602</v>
      </c>
      <c r="G44" s="134">
        <v>9501408</v>
      </c>
      <c r="H44" s="135">
        <v>11401690</v>
      </c>
      <c r="I44" s="135">
        <v>2961386</v>
      </c>
      <c r="J44" s="135">
        <v>2968302</v>
      </c>
      <c r="K44" s="136">
        <f t="shared" si="10"/>
        <v>2968302</v>
      </c>
      <c r="L44" s="181">
        <f>K44+J44</f>
        <v>5936604</v>
      </c>
      <c r="M44" s="225"/>
      <c r="N44" s="35"/>
      <c r="O44" s="35"/>
    </row>
    <row r="45" spans="2:15" ht="19.5">
      <c r="B45" s="146" t="s">
        <v>52</v>
      </c>
      <c r="C45" s="133" t="s">
        <v>37</v>
      </c>
      <c r="D45" s="134">
        <v>741403</v>
      </c>
      <c r="E45" s="134">
        <v>1149550</v>
      </c>
      <c r="F45" s="134">
        <v>2159894</v>
      </c>
      <c r="G45" s="134">
        <v>3886375</v>
      </c>
      <c r="H45" s="135">
        <v>4663650</v>
      </c>
      <c r="I45" s="135">
        <v>864969</v>
      </c>
      <c r="J45" s="135">
        <v>2213087</v>
      </c>
      <c r="K45" s="136">
        <f t="shared" si="10"/>
        <v>2213087</v>
      </c>
      <c r="L45" s="181">
        <f t="shared" si="11"/>
        <v>4426174</v>
      </c>
      <c r="M45" s="225"/>
      <c r="N45" s="35"/>
      <c r="O45" s="35"/>
    </row>
    <row r="46" spans="2:15" ht="29.25" customHeight="1">
      <c r="B46" s="146" t="s">
        <v>41</v>
      </c>
      <c r="C46" s="133" t="s">
        <v>37</v>
      </c>
      <c r="D46" s="138">
        <f t="shared" ref="D46:I46" si="12">SUM(D42:D45)</f>
        <v>2909810</v>
      </c>
      <c r="E46" s="138">
        <f t="shared" si="12"/>
        <v>7122415</v>
      </c>
      <c r="F46" s="138">
        <f t="shared" si="12"/>
        <v>11323163</v>
      </c>
      <c r="G46" s="138">
        <f t="shared" si="12"/>
        <v>21329682</v>
      </c>
      <c r="H46" s="140">
        <f t="shared" si="12"/>
        <v>25774020</v>
      </c>
      <c r="I46" s="140">
        <f t="shared" si="12"/>
        <v>6467055</v>
      </c>
      <c r="J46" s="140">
        <f>SUM(J42:J45)</f>
        <v>10006014</v>
      </c>
      <c r="K46" s="141">
        <f>SUM(K42:K45)</f>
        <v>10006014</v>
      </c>
      <c r="L46" s="182">
        <f>SUM(L42:L45)</f>
        <v>20012028</v>
      </c>
      <c r="M46" s="226"/>
      <c r="N46" s="35"/>
      <c r="O46" s="35"/>
    </row>
    <row r="47" spans="2:15" ht="18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2:15" ht="18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113"/>
      <c r="N48" s="35"/>
      <c r="O48" s="35"/>
    </row>
    <row r="49" spans="2:15" ht="36" customHeight="1">
      <c r="B49" s="219" t="s">
        <v>53</v>
      </c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35"/>
      <c r="N49" s="35"/>
      <c r="O49" s="35"/>
    </row>
    <row r="50" spans="2:15" ht="45">
      <c r="B50" s="37" t="s">
        <v>0</v>
      </c>
      <c r="C50" s="37" t="s">
        <v>23</v>
      </c>
      <c r="D50" s="37">
        <v>1399</v>
      </c>
      <c r="E50" s="37">
        <v>1400</v>
      </c>
      <c r="F50" s="37">
        <v>1401</v>
      </c>
      <c r="G50" s="37">
        <v>1402</v>
      </c>
      <c r="H50" s="101" t="s">
        <v>74</v>
      </c>
      <c r="I50" s="101" t="s">
        <v>84</v>
      </c>
      <c r="J50" s="101" t="s">
        <v>87</v>
      </c>
      <c r="K50" s="170" t="s">
        <v>108</v>
      </c>
      <c r="L50" s="39" t="s">
        <v>75</v>
      </c>
      <c r="M50" s="35"/>
      <c r="N50" s="35"/>
      <c r="O50" s="35"/>
    </row>
    <row r="51" spans="2:15" ht="19.5">
      <c r="B51" s="146" t="s">
        <v>43</v>
      </c>
      <c r="C51" s="133" t="s">
        <v>37</v>
      </c>
      <c r="D51" s="134">
        <v>554972</v>
      </c>
      <c r="E51" s="134">
        <v>816069</v>
      </c>
      <c r="F51" s="134">
        <v>1499091</v>
      </c>
      <c r="G51" s="134">
        <v>2106777</v>
      </c>
      <c r="H51" s="135">
        <v>2885318</v>
      </c>
      <c r="I51" s="135">
        <v>996489</v>
      </c>
      <c r="J51" s="135">
        <v>1714682</v>
      </c>
      <c r="K51" s="136">
        <f>J51</f>
        <v>1714682</v>
      </c>
      <c r="L51" s="136">
        <f>K51+J51</f>
        <v>3429364</v>
      </c>
      <c r="M51" s="220" t="s">
        <v>90</v>
      </c>
      <c r="N51" s="35"/>
      <c r="O51" s="35"/>
    </row>
    <row r="52" spans="2:15" ht="19.5">
      <c r="B52" s="146" t="s">
        <v>44</v>
      </c>
      <c r="C52" s="133" t="s">
        <v>37</v>
      </c>
      <c r="D52" s="134">
        <v>54473</v>
      </c>
      <c r="E52" s="134">
        <v>97170</v>
      </c>
      <c r="F52" s="134">
        <v>281205</v>
      </c>
      <c r="G52" s="134">
        <v>394245</v>
      </c>
      <c r="H52" s="135">
        <v>473094</v>
      </c>
      <c r="I52" s="135">
        <v>110842</v>
      </c>
      <c r="J52" s="135">
        <v>234326</v>
      </c>
      <c r="K52" s="136">
        <f t="shared" ref="K52:K60" si="13">J52</f>
        <v>234326</v>
      </c>
      <c r="L52" s="136">
        <f t="shared" ref="L52:L58" si="14">K52+J52</f>
        <v>468652</v>
      </c>
      <c r="M52" s="220"/>
      <c r="N52" s="35"/>
      <c r="O52" s="35"/>
    </row>
    <row r="53" spans="2:15" ht="19.5">
      <c r="B53" s="146" t="s">
        <v>45</v>
      </c>
      <c r="C53" s="133" t="s">
        <v>37</v>
      </c>
      <c r="D53" s="134">
        <v>0</v>
      </c>
      <c r="E53" s="134">
        <v>0</v>
      </c>
      <c r="F53" s="134">
        <v>0</v>
      </c>
      <c r="G53" s="134">
        <v>0</v>
      </c>
      <c r="H53" s="135">
        <v>0</v>
      </c>
      <c r="I53" s="135">
        <v>0</v>
      </c>
      <c r="J53" s="135">
        <v>0</v>
      </c>
      <c r="K53" s="136">
        <f t="shared" si="13"/>
        <v>0</v>
      </c>
      <c r="L53" s="136">
        <f t="shared" si="14"/>
        <v>0</v>
      </c>
      <c r="M53" s="220"/>
      <c r="N53" s="35"/>
      <c r="O53" s="35"/>
    </row>
    <row r="54" spans="2:15" ht="19.5">
      <c r="B54" s="146" t="s">
        <v>46</v>
      </c>
      <c r="C54" s="133" t="s">
        <v>37</v>
      </c>
      <c r="D54" s="134">
        <v>0</v>
      </c>
      <c r="E54" s="134">
        <v>0</v>
      </c>
      <c r="F54" s="134">
        <v>0</v>
      </c>
      <c r="G54" s="134">
        <v>0</v>
      </c>
      <c r="H54" s="135">
        <v>0</v>
      </c>
      <c r="I54" s="135">
        <v>0</v>
      </c>
      <c r="J54" s="135">
        <v>0</v>
      </c>
      <c r="K54" s="136">
        <f t="shared" si="13"/>
        <v>0</v>
      </c>
      <c r="L54" s="136">
        <f t="shared" si="14"/>
        <v>0</v>
      </c>
      <c r="M54" s="220"/>
      <c r="N54" s="35"/>
      <c r="O54" s="35"/>
    </row>
    <row r="55" spans="2:15" ht="19.5">
      <c r="B55" s="146" t="s">
        <v>47</v>
      </c>
      <c r="C55" s="133" t="s">
        <v>37</v>
      </c>
      <c r="D55" s="134">
        <v>816656</v>
      </c>
      <c r="E55" s="134">
        <v>929874</v>
      </c>
      <c r="F55" s="134">
        <v>874564</v>
      </c>
      <c r="G55" s="134">
        <v>495245</v>
      </c>
      <c r="H55" s="135">
        <v>1470000</v>
      </c>
      <c r="I55" s="135">
        <v>101551</v>
      </c>
      <c r="J55" s="135">
        <v>258322</v>
      </c>
      <c r="K55" s="136">
        <f t="shared" si="13"/>
        <v>258322</v>
      </c>
      <c r="L55" s="136">
        <f t="shared" si="14"/>
        <v>516644</v>
      </c>
      <c r="M55" s="220"/>
      <c r="N55" s="35"/>
      <c r="O55" s="35"/>
    </row>
    <row r="56" spans="2:15" ht="19.5">
      <c r="B56" s="146" t="s">
        <v>48</v>
      </c>
      <c r="C56" s="133" t="s">
        <v>37</v>
      </c>
      <c r="D56" s="134">
        <v>0</v>
      </c>
      <c r="E56" s="134">
        <v>0</v>
      </c>
      <c r="F56" s="134">
        <v>0</v>
      </c>
      <c r="G56" s="134">
        <v>0</v>
      </c>
      <c r="H56" s="135">
        <v>0</v>
      </c>
      <c r="I56" s="135">
        <v>0</v>
      </c>
      <c r="J56" s="135"/>
      <c r="K56" s="136">
        <f t="shared" si="13"/>
        <v>0</v>
      </c>
      <c r="L56" s="136">
        <f t="shared" si="14"/>
        <v>0</v>
      </c>
      <c r="M56" s="220"/>
      <c r="N56" s="35"/>
      <c r="O56" s="35"/>
    </row>
    <row r="57" spans="2:15" ht="19.5">
      <c r="B57" s="146" t="s">
        <v>49</v>
      </c>
      <c r="C57" s="133" t="s">
        <v>37</v>
      </c>
      <c r="D57" s="134">
        <v>0</v>
      </c>
      <c r="E57" s="134">
        <v>0</v>
      </c>
      <c r="F57" s="134">
        <v>0</v>
      </c>
      <c r="G57" s="134">
        <v>0</v>
      </c>
      <c r="H57" s="135">
        <v>0</v>
      </c>
      <c r="I57" s="135">
        <v>0</v>
      </c>
      <c r="J57" s="135"/>
      <c r="K57" s="136">
        <f t="shared" si="13"/>
        <v>0</v>
      </c>
      <c r="L57" s="136">
        <f t="shared" si="14"/>
        <v>0</v>
      </c>
      <c r="M57" s="220"/>
      <c r="N57" s="35"/>
      <c r="O57" s="35"/>
    </row>
    <row r="58" spans="2:15" ht="19.5">
      <c r="B58" s="146" t="s">
        <v>50</v>
      </c>
      <c r="C58" s="133" t="s">
        <v>37</v>
      </c>
      <c r="D58" s="134">
        <v>163213</v>
      </c>
      <c r="E58" s="134">
        <v>106136</v>
      </c>
      <c r="F58" s="134">
        <v>0</v>
      </c>
      <c r="G58" s="134">
        <v>0</v>
      </c>
      <c r="H58" s="135">
        <v>0</v>
      </c>
      <c r="I58" s="135">
        <v>0</v>
      </c>
      <c r="J58" s="135"/>
      <c r="K58" s="136">
        <f t="shared" si="13"/>
        <v>0</v>
      </c>
      <c r="L58" s="136">
        <f t="shared" si="14"/>
        <v>0</v>
      </c>
      <c r="M58" s="220"/>
      <c r="N58" s="35"/>
      <c r="O58" s="35"/>
    </row>
    <row r="59" spans="2:15" ht="19.5">
      <c r="B59" s="146" t="s">
        <v>51</v>
      </c>
      <c r="C59" s="133" t="s">
        <v>37</v>
      </c>
      <c r="D59" s="134">
        <v>1989745</v>
      </c>
      <c r="E59" s="134">
        <v>2638410</v>
      </c>
      <c r="F59" s="134">
        <v>3684481</v>
      </c>
      <c r="G59" s="134">
        <v>10338300</v>
      </c>
      <c r="H59" s="135">
        <v>12405960</v>
      </c>
      <c r="I59" s="135">
        <v>1733744</v>
      </c>
      <c r="J59" s="135">
        <v>4659344</v>
      </c>
      <c r="K59" s="136">
        <f t="shared" si="13"/>
        <v>4659344</v>
      </c>
      <c r="L59" s="136">
        <f>K59+J59</f>
        <v>9318688</v>
      </c>
      <c r="M59" s="220"/>
      <c r="N59" s="35"/>
      <c r="O59" s="35"/>
    </row>
    <row r="60" spans="2:15" ht="19.5">
      <c r="B60" s="146" t="s">
        <v>52</v>
      </c>
      <c r="C60" s="133" t="s">
        <v>37</v>
      </c>
      <c r="D60" s="134">
        <v>534129</v>
      </c>
      <c r="E60" s="134">
        <v>953556</v>
      </c>
      <c r="F60" s="134">
        <v>1491381</v>
      </c>
      <c r="G60" s="134">
        <v>1994945</v>
      </c>
      <c r="H60" s="135">
        <v>2393569</v>
      </c>
      <c r="I60" s="135">
        <v>675340</v>
      </c>
      <c r="J60" s="135">
        <v>1231616</v>
      </c>
      <c r="K60" s="136">
        <f t="shared" si="13"/>
        <v>1231616</v>
      </c>
      <c r="L60" s="136">
        <f>K60+J60</f>
        <v>2463232</v>
      </c>
      <c r="M60" s="220"/>
      <c r="N60" s="35"/>
      <c r="O60" s="35"/>
    </row>
    <row r="61" spans="2:15" ht="29.25" customHeight="1">
      <c r="B61" s="146" t="s">
        <v>41</v>
      </c>
      <c r="C61" s="133" t="s">
        <v>37</v>
      </c>
      <c r="D61" s="138">
        <f t="shared" ref="D61:I61" si="15">SUM(D51:D60)</f>
        <v>4113188</v>
      </c>
      <c r="E61" s="138">
        <f t="shared" si="15"/>
        <v>5541215</v>
      </c>
      <c r="F61" s="138">
        <f t="shared" si="15"/>
        <v>7830722</v>
      </c>
      <c r="G61" s="138">
        <f t="shared" si="15"/>
        <v>15329512</v>
      </c>
      <c r="H61" s="140">
        <f t="shared" si="15"/>
        <v>19627941</v>
      </c>
      <c r="I61" s="140">
        <f t="shared" si="15"/>
        <v>3617966</v>
      </c>
      <c r="J61" s="140">
        <f>SUM(J51:J60)</f>
        <v>8098290</v>
      </c>
      <c r="K61" s="141">
        <f>SUM(K51:K60)</f>
        <v>8098290</v>
      </c>
      <c r="L61" s="141">
        <f>SUM(L51:L60)</f>
        <v>16196580</v>
      </c>
      <c r="M61" s="35"/>
      <c r="N61" s="35"/>
      <c r="O61" s="35"/>
    </row>
    <row r="62" spans="2:15" ht="27" customHeight="1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2:15" ht="34.5" customHeight="1">
      <c r="B63" s="219" t="s">
        <v>35</v>
      </c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35"/>
      <c r="N63" s="35"/>
      <c r="O63" s="35"/>
    </row>
    <row r="64" spans="2:15" ht="45">
      <c r="B64" s="37" t="s">
        <v>0</v>
      </c>
      <c r="C64" s="37" t="s">
        <v>23</v>
      </c>
      <c r="D64" s="37">
        <v>1399</v>
      </c>
      <c r="E64" s="37">
        <v>1400</v>
      </c>
      <c r="F64" s="37">
        <v>1401</v>
      </c>
      <c r="G64" s="37">
        <v>1402</v>
      </c>
      <c r="H64" s="101" t="s">
        <v>74</v>
      </c>
      <c r="I64" s="101" t="s">
        <v>84</v>
      </c>
      <c r="J64" s="101" t="s">
        <v>87</v>
      </c>
      <c r="K64" s="170" t="s">
        <v>108</v>
      </c>
      <c r="L64" s="39" t="s">
        <v>75</v>
      </c>
      <c r="M64" s="35"/>
      <c r="N64" s="35"/>
      <c r="O64" s="35"/>
    </row>
    <row r="65" spans="2:15" ht="18.75" customHeight="1">
      <c r="B65" s="146" t="s">
        <v>36</v>
      </c>
      <c r="C65" s="133" t="s">
        <v>37</v>
      </c>
      <c r="D65" s="134">
        <f t="shared" ref="D65:H65" si="16">D37</f>
        <v>49524756</v>
      </c>
      <c r="E65" s="134">
        <f>E37</f>
        <v>93075131</v>
      </c>
      <c r="F65" s="134">
        <f t="shared" si="16"/>
        <v>124185906</v>
      </c>
      <c r="G65" s="134">
        <f t="shared" si="16"/>
        <v>152557669</v>
      </c>
      <c r="H65" s="135">
        <f t="shared" si="16"/>
        <v>178039109</v>
      </c>
      <c r="I65" s="135">
        <f>I$37</f>
        <v>45233871</v>
      </c>
      <c r="J65" s="135">
        <f>J$37</f>
        <v>94519542</v>
      </c>
      <c r="K65" s="136">
        <f>K$37</f>
        <v>134194770.89079806</v>
      </c>
      <c r="L65" s="136">
        <f>K65+J65</f>
        <v>228714312.89079806</v>
      </c>
      <c r="M65" s="35"/>
      <c r="N65" s="35"/>
      <c r="O65" s="35"/>
    </row>
    <row r="66" spans="2:15" ht="19.5">
      <c r="B66" s="146" t="s">
        <v>38</v>
      </c>
      <c r="C66" s="133" t="s">
        <v>37</v>
      </c>
      <c r="D66" s="134"/>
      <c r="E66" s="134">
        <v>683972</v>
      </c>
      <c r="F66" s="134">
        <v>1064049</v>
      </c>
      <c r="G66" s="134">
        <v>2214356</v>
      </c>
      <c r="H66" s="135">
        <v>2745662</v>
      </c>
      <c r="I66" s="135">
        <v>55525</v>
      </c>
      <c r="J66" s="135">
        <v>1771334</v>
      </c>
      <c r="K66" s="136">
        <f>J66*1.1</f>
        <v>1948467.4000000001</v>
      </c>
      <c r="L66" s="136">
        <f>K66+J66</f>
        <v>3719801.4000000004</v>
      </c>
      <c r="M66" s="35" t="s">
        <v>98</v>
      </c>
      <c r="N66" s="35"/>
      <c r="O66" s="35"/>
    </row>
    <row r="67" spans="2:15" ht="19.5">
      <c r="B67" s="146" t="s">
        <v>39</v>
      </c>
      <c r="C67" s="133" t="s">
        <v>37</v>
      </c>
      <c r="D67" s="134">
        <f t="shared" ref="D67:H67" si="17">D46</f>
        <v>2909810</v>
      </c>
      <c r="E67" s="134">
        <f t="shared" si="17"/>
        <v>7122415</v>
      </c>
      <c r="F67" s="134">
        <f t="shared" si="17"/>
        <v>11323163</v>
      </c>
      <c r="G67" s="134">
        <f t="shared" si="17"/>
        <v>21329682</v>
      </c>
      <c r="H67" s="135">
        <f t="shared" si="17"/>
        <v>25774020</v>
      </c>
      <c r="I67" s="135">
        <f>I46</f>
        <v>6467055</v>
      </c>
      <c r="J67" s="135">
        <v>10055858</v>
      </c>
      <c r="K67" s="136">
        <f>K46</f>
        <v>10006014</v>
      </c>
      <c r="L67" s="136">
        <f>K67+J67</f>
        <v>20061872</v>
      </c>
      <c r="M67" s="35"/>
      <c r="N67" s="35"/>
      <c r="O67" s="35"/>
    </row>
    <row r="68" spans="2:15" ht="19.5">
      <c r="B68" s="146" t="s">
        <v>106</v>
      </c>
      <c r="C68" s="133"/>
      <c r="D68" s="134"/>
      <c r="E68" s="134"/>
      <c r="F68" s="134"/>
      <c r="G68" s="134"/>
      <c r="H68" s="135"/>
      <c r="I68" s="135"/>
      <c r="J68" s="135">
        <v>14239787</v>
      </c>
      <c r="K68" s="149">
        <v>25643234</v>
      </c>
      <c r="L68" s="136">
        <v>14239787</v>
      </c>
      <c r="M68" s="35"/>
      <c r="N68" s="35"/>
      <c r="O68" s="35"/>
    </row>
    <row r="69" spans="2:15" ht="45.75" customHeight="1">
      <c r="B69" s="146" t="s">
        <v>107</v>
      </c>
      <c r="C69" s="133" t="s">
        <v>37</v>
      </c>
      <c r="D69" s="147">
        <v>-974209</v>
      </c>
      <c r="E69" s="147">
        <v>-4525146</v>
      </c>
      <c r="F69" s="147">
        <v>-1051607</v>
      </c>
      <c r="G69" s="147">
        <f>G70-G67-G66-G65</f>
        <v>-1696218</v>
      </c>
      <c r="H69" s="135">
        <f>H70-H67-H66-H65</f>
        <v>2595476</v>
      </c>
      <c r="I69" s="148">
        <f>I70-I67-I66-I65</f>
        <v>-8213007</v>
      </c>
      <c r="J69" s="148">
        <v>-25643234</v>
      </c>
      <c r="K69" s="149">
        <v>-24358338</v>
      </c>
      <c r="L69" s="149">
        <v>-21847600</v>
      </c>
      <c r="M69" s="35"/>
      <c r="N69" s="35"/>
      <c r="O69" s="150"/>
    </row>
    <row r="70" spans="2:15" ht="30.75" customHeight="1">
      <c r="B70" s="137" t="s">
        <v>41</v>
      </c>
      <c r="C70" s="133" t="s">
        <v>37</v>
      </c>
      <c r="D70" s="138">
        <f>SUM(D65:D69)</f>
        <v>51460357</v>
      </c>
      <c r="E70" s="138">
        <f>SUM(E65:E69)</f>
        <v>96356372</v>
      </c>
      <c r="F70" s="138">
        <f>SUM(F65:F69)</f>
        <v>135521511</v>
      </c>
      <c r="G70" s="138">
        <v>174405489</v>
      </c>
      <c r="H70" s="140">
        <v>209154267</v>
      </c>
      <c r="I70" s="140">
        <v>43543444</v>
      </c>
      <c r="J70" s="140">
        <f>SUM(J65:J69)</f>
        <v>94943287</v>
      </c>
      <c r="K70" s="141">
        <f>SUM(K65:K69)</f>
        <v>147434148.29079807</v>
      </c>
      <c r="L70" s="141">
        <f>SUM(L65:L69)</f>
        <v>244888173.29079807</v>
      </c>
      <c r="M70" s="35"/>
      <c r="N70" s="35"/>
      <c r="O70" s="35"/>
    </row>
    <row r="71" spans="2:15">
      <c r="I71" s="20"/>
      <c r="J71" s="20"/>
      <c r="K71" s="20"/>
    </row>
    <row r="72" spans="2:15">
      <c r="C72" s="14" t="s">
        <v>40</v>
      </c>
      <c r="H72" s="20"/>
    </row>
    <row r="73" spans="2:15">
      <c r="E73" s="24"/>
      <c r="F73" s="24"/>
    </row>
    <row r="74" spans="2:15">
      <c r="J74" s="14" t="s">
        <v>91</v>
      </c>
    </row>
    <row r="95" spans="7:7"/>
  </sheetData>
  <mergeCells count="14">
    <mergeCell ref="M51:M60"/>
    <mergeCell ref="M23:M24"/>
    <mergeCell ref="M14:M16"/>
    <mergeCell ref="M28:M29"/>
    <mergeCell ref="M34:M36"/>
    <mergeCell ref="M41:M46"/>
    <mergeCell ref="B49:L49"/>
    <mergeCell ref="B3:L3"/>
    <mergeCell ref="B63:L63"/>
    <mergeCell ref="B40:L40"/>
    <mergeCell ref="B12:L12"/>
    <mergeCell ref="B19:L19"/>
    <mergeCell ref="B26:L26"/>
    <mergeCell ref="B32:L32"/>
  </mergeCells>
  <phoneticPr fontId="7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72"/>
  <sheetViews>
    <sheetView rightToLeft="1" topLeftCell="E1" zoomScale="85" zoomScaleNormal="85" workbookViewId="0">
      <selection activeCell="K4" sqref="K4"/>
    </sheetView>
  </sheetViews>
  <sheetFormatPr defaultColWidth="9.140625" defaultRowHeight="15"/>
  <cols>
    <col min="1" max="1" width="9.140625" style="16"/>
    <col min="2" max="2" width="29.28515625" style="1" customWidth="1"/>
    <col min="3" max="3" width="27.42578125" style="1" bestFit="1" customWidth="1"/>
    <col min="4" max="7" width="29" style="1" bestFit="1" customWidth="1"/>
    <col min="8" max="8" width="27.42578125" style="1" bestFit="1" customWidth="1"/>
    <col min="9" max="9" width="25.140625" style="1" bestFit="1" customWidth="1"/>
    <col min="10" max="10" width="25.140625" style="1" customWidth="1"/>
    <col min="11" max="11" width="29" style="1" bestFit="1" customWidth="1"/>
    <col min="12" max="12" width="13.5703125" style="16" bestFit="1" customWidth="1"/>
    <col min="13" max="14" width="11.140625" style="16" customWidth="1"/>
    <col min="15" max="17" width="14.140625" style="16" customWidth="1"/>
    <col min="18" max="18" width="11.140625" style="16" customWidth="1"/>
    <col min="19" max="22" width="9.140625" style="16"/>
    <col min="23" max="16384" width="9.140625" style="1"/>
  </cols>
  <sheetData>
    <row r="1" spans="2:26" s="16" customFormat="1"/>
    <row r="2" spans="2:26" s="16" customFormat="1" ht="26.25" customHeight="1"/>
    <row r="3" spans="2:26" ht="45">
      <c r="B3" s="154" t="s">
        <v>0</v>
      </c>
      <c r="C3" s="154" t="s">
        <v>1</v>
      </c>
      <c r="D3" s="154" t="s">
        <v>2</v>
      </c>
      <c r="E3" s="154" t="s">
        <v>60</v>
      </c>
      <c r="F3" s="154" t="s">
        <v>59</v>
      </c>
      <c r="G3" s="154" t="s">
        <v>74</v>
      </c>
      <c r="H3" s="154" t="s">
        <v>81</v>
      </c>
      <c r="I3" s="154" t="s">
        <v>87</v>
      </c>
      <c r="J3" s="154" t="s">
        <v>111</v>
      </c>
      <c r="K3" s="154" t="s">
        <v>83</v>
      </c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6"/>
      <c r="X3" s="156"/>
      <c r="Y3" s="156"/>
      <c r="Z3" s="156"/>
    </row>
    <row r="4" spans="2:26" ht="42.75" customHeight="1">
      <c r="B4" s="157" t="s">
        <v>3</v>
      </c>
      <c r="C4" s="158">
        <f>(درآمد!D155)/1000000</f>
        <v>71803811.884712994</v>
      </c>
      <c r="D4" s="158">
        <f>(درآمد!E155)/1000000</f>
        <v>131977459.83723301</v>
      </c>
      <c r="E4" s="158">
        <f>(درآمد!F155)/1000000</f>
        <v>183544852.990347</v>
      </c>
      <c r="F4" s="158">
        <f>(درآمد!G155)/1000000</f>
        <v>232581181.032518</v>
      </c>
      <c r="G4" s="158">
        <f>(درآمد!H155)/1000000</f>
        <v>280692787.01849902</v>
      </c>
      <c r="H4" s="158">
        <f>(درآمد!I155)/1000000</f>
        <v>58481987.018748999</v>
      </c>
      <c r="I4" s="158">
        <f>(درآمد!J155)/1000000</f>
        <v>124777738.991934</v>
      </c>
      <c r="J4" s="158">
        <f>(درآمد!K155)/1000000</f>
        <v>192607062.39679465</v>
      </c>
      <c r="K4" s="158">
        <f>درآمد!L155/1000000</f>
        <v>317384801.38872868</v>
      </c>
      <c r="L4" s="155"/>
      <c r="M4" s="155"/>
      <c r="N4" s="159"/>
      <c r="O4" s="155"/>
      <c r="P4" s="155"/>
      <c r="Q4" s="155"/>
      <c r="R4" s="155"/>
      <c r="S4" s="155"/>
      <c r="T4" s="155"/>
      <c r="U4" s="155"/>
      <c r="V4" s="155"/>
      <c r="W4" s="156"/>
      <c r="X4" s="156"/>
      <c r="Y4" s="156"/>
      <c r="Z4" s="156"/>
    </row>
    <row r="5" spans="2:26" ht="42.75" customHeight="1">
      <c r="B5" s="157" t="s">
        <v>4</v>
      </c>
      <c r="C5" s="160">
        <f>-'بهای تمام شده'!D70</f>
        <v>-51460357</v>
      </c>
      <c r="D5" s="160">
        <f>-'بهای تمام شده'!E70</f>
        <v>-96356372</v>
      </c>
      <c r="E5" s="160">
        <f>-'بهای تمام شده'!F70</f>
        <v>-135521511</v>
      </c>
      <c r="F5" s="160">
        <f>-'بهای تمام شده'!G70</f>
        <v>-174405489</v>
      </c>
      <c r="G5" s="160">
        <f>-'بهای تمام شده'!H70</f>
        <v>-209154267</v>
      </c>
      <c r="H5" s="160">
        <f>-'بهای تمام شده'!I70</f>
        <v>-43543444</v>
      </c>
      <c r="I5" s="160">
        <f>-'بهای تمام شده'!J70</f>
        <v>-94943287</v>
      </c>
      <c r="J5" s="160">
        <f>-'بهای تمام شده'!K70</f>
        <v>-147434148.29079807</v>
      </c>
      <c r="K5" s="160">
        <f>-'بهای تمام شده'!L70</f>
        <v>-244888173.29079807</v>
      </c>
      <c r="L5" s="155"/>
      <c r="M5" s="155"/>
      <c r="N5" s="155"/>
      <c r="O5" s="155"/>
      <c r="P5" s="161"/>
      <c r="Q5" s="155"/>
      <c r="R5" s="155"/>
      <c r="S5" s="155"/>
      <c r="T5" s="155"/>
      <c r="U5" s="155"/>
      <c r="V5" s="155"/>
      <c r="W5" s="156"/>
      <c r="X5" s="156"/>
      <c r="Y5" s="156"/>
      <c r="Z5" s="156"/>
    </row>
    <row r="6" spans="2:26" ht="42.75" customHeight="1">
      <c r="B6" s="162" t="s">
        <v>5</v>
      </c>
      <c r="C6" s="163">
        <f>SUM(C4:C5)</f>
        <v>20343454.884712994</v>
      </c>
      <c r="D6" s="163">
        <f>SUM(D4:D5)</f>
        <v>35621087.837233007</v>
      </c>
      <c r="E6" s="163">
        <f>SUM(E4:E5)</f>
        <v>48023341.990346998</v>
      </c>
      <c r="F6" s="163">
        <f>SUM(F4:F5)</f>
        <v>58175692.032517999</v>
      </c>
      <c r="G6" s="163">
        <f t="shared" ref="G6:J6" si="0">SUM(G4:G5)</f>
        <v>71538520.018499017</v>
      </c>
      <c r="H6" s="163">
        <f t="shared" si="0"/>
        <v>14938543.018748999</v>
      </c>
      <c r="I6" s="163">
        <f t="shared" si="0"/>
        <v>29834451.991934001</v>
      </c>
      <c r="J6" s="163">
        <f t="shared" si="0"/>
        <v>45172914.105996579</v>
      </c>
      <c r="K6" s="163">
        <f t="shared" ref="K6" si="1">SUM(K4:K5)</f>
        <v>72496628.09793061</v>
      </c>
      <c r="L6" s="155"/>
      <c r="M6" s="159">
        <f t="shared" ref="M6:U6" si="2">C6/C4</f>
        <v>0.2833199847018722</v>
      </c>
      <c r="N6" s="159">
        <f t="shared" si="2"/>
        <v>0.26990281432272051</v>
      </c>
      <c r="O6" s="159">
        <f t="shared" si="2"/>
        <v>0.26164363210377056</v>
      </c>
      <c r="P6" s="159">
        <f t="shared" si="2"/>
        <v>0.25013069318099407</v>
      </c>
      <c r="Q6" s="159">
        <f t="shared" si="2"/>
        <v>0.25486411951791366</v>
      </c>
      <c r="R6" s="159">
        <f t="shared" si="2"/>
        <v>0.25543836282374921</v>
      </c>
      <c r="S6" s="159">
        <f t="shared" si="2"/>
        <v>0.23910075813973988</v>
      </c>
      <c r="T6" s="159">
        <f t="shared" si="2"/>
        <v>0.23453404846045947</v>
      </c>
      <c r="U6" s="159">
        <f t="shared" si="2"/>
        <v>0.22841871375289236</v>
      </c>
      <c r="V6" s="155"/>
      <c r="W6" s="156"/>
      <c r="X6" s="156"/>
      <c r="Y6" s="156"/>
      <c r="Z6" s="156"/>
    </row>
    <row r="7" spans="2:26" ht="42.75" customHeight="1">
      <c r="B7" s="157" t="s">
        <v>6</v>
      </c>
      <c r="C7" s="160">
        <f>-'بهای تمام شده'!D61</f>
        <v>-4113188</v>
      </c>
      <c r="D7" s="160">
        <f>-'بهای تمام شده'!E61</f>
        <v>-5541215</v>
      </c>
      <c r="E7" s="160">
        <f>-'بهای تمام شده'!F61</f>
        <v>-7830722</v>
      </c>
      <c r="F7" s="160">
        <f>-'بهای تمام شده'!G61</f>
        <v>-15329512</v>
      </c>
      <c r="G7" s="160">
        <f>-'بهای تمام شده'!H61</f>
        <v>-19627941</v>
      </c>
      <c r="H7" s="160">
        <f>-'بهای تمام شده'!I61</f>
        <v>-3617966</v>
      </c>
      <c r="I7" s="160">
        <f>-'بهای تمام شده'!J61</f>
        <v>-8098290</v>
      </c>
      <c r="J7" s="160">
        <f>-'بهای تمام شده'!K61</f>
        <v>-8098290</v>
      </c>
      <c r="K7" s="160">
        <f>-'بهای تمام شده'!L61</f>
        <v>-16196580</v>
      </c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6"/>
      <c r="X7" s="156"/>
      <c r="Y7" s="156"/>
      <c r="Z7" s="156"/>
    </row>
    <row r="8" spans="2:26" ht="58.5">
      <c r="B8" s="157" t="s">
        <v>7</v>
      </c>
      <c r="C8" s="158">
        <v>0</v>
      </c>
      <c r="D8" s="158">
        <v>0</v>
      </c>
      <c r="E8" s="158">
        <v>0</v>
      </c>
      <c r="F8" s="158">
        <v>0</v>
      </c>
      <c r="G8" s="158">
        <v>0</v>
      </c>
      <c r="H8" s="158">
        <v>0</v>
      </c>
      <c r="I8" s="158">
        <v>0</v>
      </c>
      <c r="J8" s="158">
        <v>0</v>
      </c>
      <c r="K8" s="160">
        <v>0</v>
      </c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6"/>
      <c r="X8" s="156"/>
      <c r="Y8" s="156"/>
      <c r="Z8" s="156"/>
    </row>
    <row r="9" spans="2:26" ht="42.75" customHeight="1">
      <c r="B9" s="157" t="s">
        <v>8</v>
      </c>
      <c r="C9" s="158">
        <v>592004</v>
      </c>
      <c r="D9" s="158">
        <v>617582</v>
      </c>
      <c r="E9" s="158">
        <v>1108102</v>
      </c>
      <c r="F9" s="158">
        <v>2350386</v>
      </c>
      <c r="G9" s="158">
        <v>41492</v>
      </c>
      <c r="H9" s="158">
        <v>32561</v>
      </c>
      <c r="I9" s="158">
        <v>1047874</v>
      </c>
      <c r="J9" s="158">
        <v>525633</v>
      </c>
      <c r="K9" s="160">
        <f>J9+I9</f>
        <v>1573507</v>
      </c>
      <c r="L9" s="227" t="s">
        <v>99</v>
      </c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156"/>
      <c r="Y9" s="156"/>
      <c r="Z9" s="156"/>
    </row>
    <row r="10" spans="2:26" ht="42.75" customHeight="1">
      <c r="B10" s="157" t="s">
        <v>9</v>
      </c>
      <c r="C10" s="158">
        <v>-909930</v>
      </c>
      <c r="D10" s="160">
        <v>-94689</v>
      </c>
      <c r="E10" s="160">
        <v>-282580</v>
      </c>
      <c r="F10" s="160">
        <v>-1441257</v>
      </c>
      <c r="G10" s="158">
        <v>0</v>
      </c>
      <c r="H10" s="160">
        <v>-156868</v>
      </c>
      <c r="I10" s="160">
        <v>0</v>
      </c>
      <c r="J10" s="160">
        <v>-522241</v>
      </c>
      <c r="K10" s="160">
        <f>J10+I10</f>
        <v>-522241</v>
      </c>
      <c r="L10" s="227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6"/>
      <c r="X10" s="156"/>
      <c r="Y10" s="156"/>
      <c r="Z10" s="156"/>
    </row>
    <row r="11" spans="2:26" ht="42.75" customHeight="1">
      <c r="B11" s="162" t="s">
        <v>10</v>
      </c>
      <c r="C11" s="163">
        <f>SUM(C6:C10)</f>
        <v>15912340.884712994</v>
      </c>
      <c r="D11" s="163">
        <f>SUM(D6:D10)</f>
        <v>30602765.837233007</v>
      </c>
      <c r="E11" s="163">
        <f>SUM(E6:E10)</f>
        <v>41018141.990346998</v>
      </c>
      <c r="F11" s="163">
        <f>SUM(F6:F10)</f>
        <v>43755309.032517999</v>
      </c>
      <c r="G11" s="163">
        <f>SUM(G6:G10)</f>
        <v>51952071.018499017</v>
      </c>
      <c r="H11" s="163">
        <f t="shared" ref="H11" si="3">SUM(H6:H10)</f>
        <v>11196270.018748999</v>
      </c>
      <c r="I11" s="163">
        <f>SUM(I6:I10)</f>
        <v>22784035.991934001</v>
      </c>
      <c r="J11" s="163">
        <f>SUM(J6:J10)</f>
        <v>37078016.105996579</v>
      </c>
      <c r="K11" s="163">
        <f>SUM(K6:K10)</f>
        <v>57351314.09793061</v>
      </c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6"/>
      <c r="X11" s="156"/>
      <c r="Y11" s="156"/>
      <c r="Z11" s="156"/>
    </row>
    <row r="12" spans="2:26" ht="42.75" customHeight="1">
      <c r="B12" s="157" t="s">
        <v>11</v>
      </c>
      <c r="C12" s="160">
        <v>0</v>
      </c>
      <c r="D12" s="160">
        <v>0</v>
      </c>
      <c r="E12" s="160">
        <v>-631184</v>
      </c>
      <c r="F12" s="160">
        <v>-2058041</v>
      </c>
      <c r="G12" s="160">
        <v>-1615715</v>
      </c>
      <c r="H12" s="160">
        <v>-496432</v>
      </c>
      <c r="I12" s="160">
        <v>-994121</v>
      </c>
      <c r="J12" s="160">
        <v>-263139</v>
      </c>
      <c r="K12" s="160">
        <f>I12+J12</f>
        <v>-1257260</v>
      </c>
      <c r="L12" s="227" t="s">
        <v>99</v>
      </c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6"/>
      <c r="X12" s="156"/>
      <c r="Y12" s="156"/>
      <c r="Z12" s="156"/>
    </row>
    <row r="13" spans="2:26" ht="58.5">
      <c r="B13" s="157" t="s">
        <v>12</v>
      </c>
      <c r="C13" s="158">
        <v>1512969</v>
      </c>
      <c r="D13" s="158">
        <v>4489613</v>
      </c>
      <c r="E13" s="158">
        <v>7395107</v>
      </c>
      <c r="F13" s="158">
        <v>6199278</v>
      </c>
      <c r="G13" s="158">
        <v>14340274</v>
      </c>
      <c r="H13" s="158">
        <v>23668</v>
      </c>
      <c r="I13" s="158">
        <v>8021638</v>
      </c>
      <c r="J13" s="158">
        <v>6334540</v>
      </c>
      <c r="K13" s="164">
        <f>J13+I13</f>
        <v>14356178</v>
      </c>
      <c r="L13" s="227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6"/>
      <c r="X13" s="156"/>
      <c r="Y13" s="156"/>
      <c r="Z13" s="156"/>
    </row>
    <row r="14" spans="2:26" ht="39">
      <c r="B14" s="157" t="s">
        <v>13</v>
      </c>
      <c r="C14" s="158">
        <v>296795</v>
      </c>
      <c r="D14" s="158">
        <v>8131</v>
      </c>
      <c r="E14" s="165">
        <v>0</v>
      </c>
      <c r="F14" s="165">
        <v>0</v>
      </c>
      <c r="G14" s="165">
        <v>0</v>
      </c>
      <c r="H14" s="165">
        <v>0</v>
      </c>
      <c r="I14" s="165">
        <v>0</v>
      </c>
      <c r="J14" s="165">
        <v>0</v>
      </c>
      <c r="K14" s="164">
        <v>0</v>
      </c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6"/>
      <c r="Y14" s="156"/>
      <c r="Z14" s="156"/>
    </row>
    <row r="15" spans="2:26" ht="42.75" customHeight="1">
      <c r="B15" s="162" t="s">
        <v>14</v>
      </c>
      <c r="C15" s="163">
        <f t="shared" ref="C15:H15" si="4">SUM(C11:C14)</f>
        <v>17722104.884712994</v>
      </c>
      <c r="D15" s="163">
        <f t="shared" si="4"/>
        <v>35100509.837233007</v>
      </c>
      <c r="E15" s="163">
        <f t="shared" si="4"/>
        <v>47782064.990346998</v>
      </c>
      <c r="F15" s="163">
        <f t="shared" si="4"/>
        <v>47896546.032517999</v>
      </c>
      <c r="G15" s="163">
        <f t="shared" si="4"/>
        <v>64676630.018499017</v>
      </c>
      <c r="H15" s="163">
        <f t="shared" si="4"/>
        <v>10723506.018748999</v>
      </c>
      <c r="I15" s="163">
        <f>SUM(I11:I14)</f>
        <v>29811552.991934001</v>
      </c>
      <c r="J15" s="163">
        <f>SUM(J11:J14)</f>
        <v>43149417.105996579</v>
      </c>
      <c r="K15" s="163">
        <f>SUM(K11:K14)</f>
        <v>70450232.09793061</v>
      </c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6"/>
      <c r="Y15" s="156"/>
      <c r="Z15" s="156"/>
    </row>
    <row r="16" spans="2:26" ht="42.75" customHeight="1">
      <c r="B16" s="157" t="s">
        <v>15</v>
      </c>
      <c r="C16" s="160">
        <v>-827559</v>
      </c>
      <c r="D16" s="160">
        <v>-840604</v>
      </c>
      <c r="E16" s="160">
        <v>-6351171</v>
      </c>
      <c r="F16" s="160">
        <v>-6662176</v>
      </c>
      <c r="G16" s="160">
        <f>-G15*0.14</f>
        <v>-9054728.2025898639</v>
      </c>
      <c r="H16" s="160">
        <v>-1137640</v>
      </c>
      <c r="I16" s="160">
        <v>-3225504</v>
      </c>
      <c r="J16" s="160">
        <f>-J15*0.14</f>
        <v>-6040918.3948395215</v>
      </c>
      <c r="K16" s="160">
        <f>J16+I16</f>
        <v>-9266422.3948395215</v>
      </c>
      <c r="L16" s="167" t="s">
        <v>86</v>
      </c>
      <c r="M16" s="166"/>
      <c r="N16" s="166"/>
      <c r="O16" s="166"/>
      <c r="P16" s="166"/>
      <c r="Q16" s="166"/>
      <c r="R16" s="166"/>
      <c r="S16" s="166"/>
      <c r="T16" s="166"/>
      <c r="U16" s="166"/>
      <c r="V16" s="155"/>
      <c r="W16" s="156"/>
      <c r="X16" s="156"/>
      <c r="Y16" s="156"/>
      <c r="Z16" s="156"/>
    </row>
    <row r="17" spans="2:26" ht="42.75" customHeight="1">
      <c r="B17" s="157" t="s">
        <v>16</v>
      </c>
      <c r="C17" s="160">
        <v>0</v>
      </c>
      <c r="D17" s="160">
        <v>0</v>
      </c>
      <c r="E17" s="160">
        <v>0</v>
      </c>
      <c r="F17" s="160">
        <v>0</v>
      </c>
      <c r="G17" s="160">
        <v>0</v>
      </c>
      <c r="H17" s="160">
        <v>0</v>
      </c>
      <c r="I17" s="160">
        <v>0</v>
      </c>
      <c r="J17" s="160">
        <v>0</v>
      </c>
      <c r="K17" s="160">
        <v>0</v>
      </c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6"/>
      <c r="X17" s="156"/>
      <c r="Y17" s="156"/>
      <c r="Z17" s="156"/>
    </row>
    <row r="18" spans="2:26" ht="42.75" customHeight="1">
      <c r="B18" s="157" t="s">
        <v>17</v>
      </c>
      <c r="C18" s="160">
        <v>0</v>
      </c>
      <c r="D18" s="160">
        <v>0</v>
      </c>
      <c r="E18" s="160">
        <v>0</v>
      </c>
      <c r="F18" s="160">
        <v>0</v>
      </c>
      <c r="G18" s="160">
        <v>0</v>
      </c>
      <c r="H18" s="160">
        <v>0</v>
      </c>
      <c r="I18" s="160">
        <v>0</v>
      </c>
      <c r="J18" s="160">
        <v>0</v>
      </c>
      <c r="K18" s="160">
        <v>0</v>
      </c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6"/>
      <c r="X18" s="156"/>
      <c r="Y18" s="156"/>
      <c r="Z18" s="156"/>
    </row>
    <row r="19" spans="2:26" ht="42.75" customHeight="1">
      <c r="B19" s="162" t="s">
        <v>18</v>
      </c>
      <c r="C19" s="163">
        <f>SUM(C15:C18)</f>
        <v>16894545.884712994</v>
      </c>
      <c r="D19" s="163">
        <f>SUM(D15:D18)</f>
        <v>34259905.837233007</v>
      </c>
      <c r="E19" s="163">
        <f>SUM(E15:E18)</f>
        <v>41430893.990346998</v>
      </c>
      <c r="F19" s="163">
        <f>SUM(F15:F18)</f>
        <v>41234370.032517999</v>
      </c>
      <c r="G19" s="163">
        <f t="shared" ref="G19:H19" si="5">SUM(G15:G18)</f>
        <v>55621901.815909155</v>
      </c>
      <c r="H19" s="163">
        <f t="shared" si="5"/>
        <v>9585866.0187489986</v>
      </c>
      <c r="I19" s="163">
        <f>SUM(I15:I18)</f>
        <v>26586048.991934001</v>
      </c>
      <c r="J19" s="163">
        <f>SUM(J15:J18)</f>
        <v>37108498.711157054</v>
      </c>
      <c r="K19" s="163">
        <f>SUM(K15:K18)</f>
        <v>61183809.703091085</v>
      </c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6"/>
      <c r="X19" s="156"/>
      <c r="Y19" s="156"/>
      <c r="Z19" s="156"/>
    </row>
    <row r="20" spans="2:26" ht="42.75" customHeight="1">
      <c r="B20" s="157" t="s">
        <v>19</v>
      </c>
      <c r="C20" s="158">
        <v>0</v>
      </c>
      <c r="D20" s="158">
        <v>0</v>
      </c>
      <c r="E20" s="158">
        <v>0</v>
      </c>
      <c r="F20" s="158">
        <v>0</v>
      </c>
      <c r="G20" s="158">
        <v>0</v>
      </c>
      <c r="H20" s="158">
        <v>0</v>
      </c>
      <c r="I20" s="158">
        <v>0</v>
      </c>
      <c r="J20" s="158">
        <v>0</v>
      </c>
      <c r="K20" s="158">
        <v>0</v>
      </c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6"/>
      <c r="X20" s="156"/>
      <c r="Y20" s="156"/>
      <c r="Z20" s="156"/>
    </row>
    <row r="21" spans="2:26" ht="42.75" customHeight="1">
      <c r="B21" s="157" t="s">
        <v>20</v>
      </c>
      <c r="C21" s="158">
        <v>0</v>
      </c>
      <c r="D21" s="158">
        <v>0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8">
        <v>0</v>
      </c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6"/>
      <c r="X21" s="156"/>
      <c r="Y21" s="156"/>
      <c r="Z21" s="156"/>
    </row>
    <row r="22" spans="2:26" ht="42.75" customHeight="1">
      <c r="B22" s="162" t="s">
        <v>21</v>
      </c>
      <c r="C22" s="163">
        <f>SUM(C19:C21)</f>
        <v>16894545.884712994</v>
      </c>
      <c r="D22" s="163">
        <f>SUM(D19:D21)</f>
        <v>34259905.837233007</v>
      </c>
      <c r="E22" s="163">
        <f>SUM(E19:E21)</f>
        <v>41430893.990346998</v>
      </c>
      <c r="F22" s="163">
        <f>SUM(F19:F21)</f>
        <v>41234370.032517999</v>
      </c>
      <c r="G22" s="163">
        <f t="shared" ref="G22:J22" si="6">SUM(G19:G21)</f>
        <v>55621901.815909155</v>
      </c>
      <c r="H22" s="163">
        <f t="shared" si="6"/>
        <v>9585866.0187489986</v>
      </c>
      <c r="I22" s="163">
        <f t="shared" si="6"/>
        <v>26586048.991934001</v>
      </c>
      <c r="J22" s="163">
        <f t="shared" si="6"/>
        <v>37108498.711157054</v>
      </c>
      <c r="K22" s="163">
        <f t="shared" ref="K22" si="7">SUM(K19:K21)</f>
        <v>61183809.703091085</v>
      </c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6"/>
      <c r="X22" s="156"/>
      <c r="Y22" s="156"/>
      <c r="Z22" s="156"/>
    </row>
    <row r="23" spans="2:26" s="16" customFormat="1" ht="19.5"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</row>
    <row r="24" spans="2:26" s="16" customFormat="1"/>
    <row r="25" spans="2:26" s="16" customFormat="1" ht="23.25" customHeight="1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26" s="16" customFormat="1" ht="23.25" customHeight="1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26" s="16" customFormat="1" ht="23.25" customHeight="1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26" s="16" customFormat="1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26" s="16" customFormat="1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26" s="16" customFormat="1"/>
    <row r="31" spans="2:26" s="16" customFormat="1"/>
    <row r="32" spans="2:26" s="16" customFormat="1"/>
    <row r="33" s="16" customFormat="1"/>
    <row r="34" s="16" customFormat="1"/>
    <row r="35" s="16" customFormat="1"/>
    <row r="36" s="16" customFormat="1"/>
    <row r="37" s="16" customFormat="1"/>
    <row r="38" s="16" customFormat="1"/>
    <row r="39" s="16" customFormat="1"/>
    <row r="40" s="16" customFormat="1"/>
    <row r="41" s="16" customFormat="1"/>
    <row r="42" s="16" customFormat="1"/>
    <row r="43" s="16" customFormat="1"/>
    <row r="44" s="16" customFormat="1"/>
    <row r="45" s="16" customFormat="1"/>
    <row r="46" s="16" customFormat="1"/>
    <row r="47" s="16" customFormat="1"/>
    <row r="48" s="16" customFormat="1"/>
    <row r="49" s="16" customFormat="1"/>
    <row r="50" s="16" customFormat="1"/>
    <row r="51" s="16" customFormat="1"/>
    <row r="52" s="16" customFormat="1"/>
    <row r="53" s="16" customFormat="1"/>
    <row r="54" s="16" customFormat="1"/>
    <row r="55" s="16" customFormat="1"/>
    <row r="56" s="16" customFormat="1"/>
    <row r="57" s="16" customFormat="1"/>
    <row r="58" s="16" customFormat="1"/>
    <row r="59" s="16" customFormat="1"/>
    <row r="60" s="16" customFormat="1"/>
    <row r="61" s="16" customFormat="1"/>
    <row r="62" s="16" customFormat="1"/>
    <row r="63" s="16" customFormat="1"/>
    <row r="64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  <row r="92" s="16" customFormat="1"/>
    <row r="93" s="16" customFormat="1"/>
    <row r="94" s="16" customFormat="1"/>
    <row r="95" s="16" customFormat="1"/>
    <row r="96" s="16" customFormat="1"/>
    <row r="97" s="16" customFormat="1"/>
    <row r="98" s="16" customFormat="1"/>
    <row r="99" s="16" customFormat="1"/>
    <row r="100" s="16" customFormat="1"/>
    <row r="101" s="16" customFormat="1"/>
    <row r="102" s="16" customFormat="1"/>
    <row r="103" s="16" customFormat="1"/>
    <row r="104" s="16" customFormat="1"/>
    <row r="105" s="16" customFormat="1"/>
    <row r="106" s="16" customFormat="1"/>
    <row r="107" s="16" customFormat="1"/>
    <row r="108" s="16" customFormat="1"/>
    <row r="109" s="16" customFormat="1"/>
    <row r="110" s="16" customFormat="1"/>
    <row r="111" s="16" customFormat="1"/>
    <row r="112" s="16" customFormat="1"/>
    <row r="113" s="16" customFormat="1"/>
    <row r="114" s="16" customFormat="1"/>
    <row r="115" s="16" customFormat="1"/>
    <row r="116" s="16" customFormat="1"/>
    <row r="117" s="16" customFormat="1"/>
    <row r="118" s="16" customFormat="1"/>
    <row r="119" s="16" customFormat="1"/>
    <row r="120" s="16" customFormat="1"/>
    <row r="121" s="16" customFormat="1"/>
    <row r="122" s="16" customFormat="1"/>
    <row r="123" s="16" customFormat="1"/>
    <row r="124" s="16" customFormat="1"/>
    <row r="125" s="16" customFormat="1"/>
    <row r="126" s="16" customFormat="1"/>
    <row r="127" s="16" customFormat="1"/>
    <row r="128" s="16" customFormat="1"/>
    <row r="129" s="16" customFormat="1"/>
    <row r="130" s="16" customFormat="1"/>
    <row r="131" s="16" customFormat="1"/>
    <row r="132" s="16" customFormat="1"/>
    <row r="133" s="16" customFormat="1"/>
    <row r="134" s="16" customFormat="1"/>
    <row r="135" s="16" customFormat="1"/>
    <row r="136" s="16" customFormat="1"/>
    <row r="137" s="16" customFormat="1"/>
    <row r="138" s="16" customFormat="1"/>
    <row r="139" s="16" customFormat="1"/>
    <row r="140" s="16" customFormat="1"/>
    <row r="141" s="16" customFormat="1"/>
    <row r="142" s="16" customFormat="1"/>
    <row r="143" s="16" customFormat="1"/>
    <row r="144" s="16" customFormat="1"/>
    <row r="145" s="16" customFormat="1"/>
    <row r="146" s="16" customFormat="1"/>
    <row r="147" s="16" customFormat="1"/>
    <row r="148" s="16" customFormat="1"/>
    <row r="149" s="16" customFormat="1"/>
    <row r="150" s="16" customFormat="1"/>
    <row r="151" s="16" customFormat="1"/>
    <row r="152" s="16" customFormat="1"/>
    <row r="153" s="16" customFormat="1"/>
    <row r="154" s="16" customFormat="1"/>
    <row r="155" s="16" customFormat="1"/>
    <row r="156" s="16" customFormat="1"/>
    <row r="157" s="16" customFormat="1"/>
    <row r="158" s="16" customFormat="1"/>
    <row r="159" s="16" customFormat="1"/>
    <row r="160" s="16" customFormat="1"/>
    <row r="161" s="16" customFormat="1"/>
    <row r="162" s="16" customFormat="1"/>
    <row r="163" s="16" customFormat="1"/>
    <row r="164" s="16" customFormat="1"/>
    <row r="165" s="16" customFormat="1"/>
    <row r="166" s="16" customFormat="1"/>
    <row r="167" s="16" customFormat="1"/>
    <row r="168" s="16" customFormat="1"/>
    <row r="169" s="16" customFormat="1"/>
    <row r="170" s="16" customFormat="1"/>
    <row r="171" s="16" customFormat="1"/>
    <row r="172" s="16" customFormat="1"/>
  </sheetData>
  <mergeCells count="2">
    <mergeCell ref="L9:L10"/>
    <mergeCell ref="L12:L1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مفروضات</vt:lpstr>
      <vt:lpstr>درآمد</vt:lpstr>
      <vt:lpstr>بهای تمام شده</vt:lpstr>
      <vt:lpstr>سود و زیان</vt:lpstr>
      <vt:lpstr>مفروضات!Print_Area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2023-02-28T04:29:49Z</cp:lastPrinted>
  <dcterms:created xsi:type="dcterms:W3CDTF">2022-01-03T08:19:49Z</dcterms:created>
  <dcterms:modified xsi:type="dcterms:W3CDTF">2025-01-27T11:48:02Z</dcterms:modified>
</cp:coreProperties>
</file>