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BA6B2880-9ED9-484C-B3E6-36CEF26D84A9}" xr6:coauthVersionLast="47" xr6:coauthVersionMax="47" xr10:uidLastSave="{00000000-0000-0000-0000-000000000000}"/>
  <bookViews>
    <workbookView xWindow="-120" yWindow="-120" windowWidth="29040" windowHeight="15840" firstSheet="2" activeTab="2" xr2:uid="{81A8E130-F218-4DF9-9AC1-141D0D13A5D4}"/>
  </bookViews>
  <sheets>
    <sheet name="مفروضات" sheetId="1" r:id="rId1"/>
    <sheet name="درآمد" sheetId="4" r:id="rId2"/>
    <sheet name="بهای تمام شده" sheetId="3" r:id="rId3"/>
    <sheet name="هزینه انرژی" sheetId="7" r:id="rId4"/>
    <sheet name="سود و زیان" sheetId="5" r:id="rId5"/>
    <sheet name="اطلاعات تکمیلی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7" l="1"/>
  <c r="H25" i="7"/>
  <c r="H24" i="7"/>
  <c r="H90" i="4"/>
  <c r="H91" i="4"/>
  <c r="E84" i="4"/>
  <c r="F93" i="4"/>
  <c r="G93" i="4"/>
  <c r="E93" i="4"/>
  <c r="F92" i="4"/>
  <c r="G92" i="4"/>
  <c r="E92" i="4"/>
  <c r="F91" i="4"/>
  <c r="G91" i="4"/>
  <c r="E91" i="4"/>
  <c r="E90" i="4"/>
  <c r="G90" i="4"/>
  <c r="F90" i="4"/>
  <c r="H28" i="3"/>
  <c r="E40" i="4"/>
  <c r="E39" i="4"/>
  <c r="G11" i="4"/>
  <c r="G10" i="4" s="1"/>
  <c r="G23" i="4" s="1"/>
  <c r="F11" i="4"/>
  <c r="F10" i="4" s="1"/>
  <c r="F23" i="4" s="1"/>
  <c r="E11" i="4"/>
  <c r="E12" i="4" s="1"/>
  <c r="G12" i="4" l="1"/>
  <c r="E41" i="4"/>
  <c r="E10" i="4"/>
  <c r="E43" i="4" s="1"/>
  <c r="F12" i="4"/>
  <c r="E19" i="4"/>
  <c r="E42" i="4"/>
  <c r="E23" i="4" l="1"/>
  <c r="H29" i="3"/>
  <c r="H30" i="3"/>
  <c r="H31" i="3"/>
  <c r="H32" i="3"/>
  <c r="E50" i="4"/>
  <c r="E26" i="7"/>
  <c r="E25" i="7"/>
  <c r="E24" i="7"/>
  <c r="L5" i="5"/>
  <c r="G104" i="3"/>
  <c r="F104" i="3"/>
  <c r="E104" i="3"/>
  <c r="F102" i="3"/>
  <c r="G102" i="3"/>
  <c r="F99" i="3"/>
  <c r="G99" i="3"/>
  <c r="G96" i="3"/>
  <c r="F96" i="3"/>
  <c r="F94" i="3"/>
  <c r="G94" i="3"/>
  <c r="E102" i="3"/>
  <c r="E99" i="3"/>
  <c r="E96" i="3"/>
  <c r="E94" i="3"/>
  <c r="H60" i="3"/>
  <c r="H13" i="4"/>
  <c r="E38" i="3"/>
  <c r="G107" i="4"/>
  <c r="E107" i="4"/>
  <c r="F107" i="4"/>
  <c r="F102" i="4"/>
  <c r="G102" i="4"/>
  <c r="E102" i="4"/>
  <c r="E108" i="4" s="1"/>
  <c r="H85" i="4"/>
  <c r="H84" i="4"/>
  <c r="G84" i="4"/>
  <c r="F84" i="4"/>
  <c r="G40" i="4"/>
  <c r="F40" i="4"/>
  <c r="E54" i="4"/>
  <c r="F38" i="4"/>
  <c r="G38" i="4"/>
  <c r="E38" i="4"/>
  <c r="F33" i="4"/>
  <c r="F39" i="4" s="1"/>
  <c r="F42" i="4" s="1"/>
  <c r="G33" i="4"/>
  <c r="G39" i="4" s="1"/>
  <c r="E33" i="4"/>
  <c r="G79" i="4"/>
  <c r="F79" i="4"/>
  <c r="G77" i="4"/>
  <c r="F77" i="4"/>
  <c r="F76" i="4"/>
  <c r="H68" i="4" l="1"/>
  <c r="H65" i="4" s="1"/>
  <c r="G108" i="4"/>
  <c r="F108" i="4"/>
  <c r="G54" i="4"/>
  <c r="G43" i="4"/>
  <c r="G52" i="4"/>
  <c r="G51" i="4"/>
  <c r="G42" i="4"/>
  <c r="G50" i="4"/>
  <c r="F54" i="4"/>
  <c r="F43" i="4"/>
  <c r="H11" i="4"/>
  <c r="H39" i="4" s="1"/>
  <c r="H10" i="4"/>
  <c r="H40" i="4" s="1"/>
  <c r="F51" i="4"/>
  <c r="F50" i="4"/>
  <c r="F55" i="4"/>
  <c r="E10" i="3"/>
  <c r="E19" i="3" s="1"/>
  <c r="E56" i="4"/>
  <c r="E52" i="4"/>
  <c r="E51" i="4"/>
  <c r="E55" i="4"/>
  <c r="F52" i="4"/>
  <c r="H11" i="3"/>
  <c r="F56" i="4"/>
  <c r="G56" i="4"/>
  <c r="G55" i="4"/>
  <c r="F41" i="4"/>
  <c r="G41" i="4"/>
  <c r="E20" i="4"/>
  <c r="E21" i="4"/>
  <c r="E22" i="4"/>
  <c r="G22" i="4"/>
  <c r="G24" i="4"/>
  <c r="G19" i="4"/>
  <c r="F22" i="4"/>
  <c r="G21" i="4"/>
  <c r="F21" i="4"/>
  <c r="F19" i="4"/>
  <c r="F20" i="4"/>
  <c r="E10" i="7"/>
  <c r="E17" i="7" s="1"/>
  <c r="H76" i="3"/>
  <c r="H77" i="3"/>
  <c r="H78" i="3"/>
  <c r="E42" i="3"/>
  <c r="E39" i="3"/>
  <c r="H64" i="4" l="1"/>
  <c r="H30" i="4"/>
  <c r="H41" i="4"/>
  <c r="H12" i="4"/>
  <c r="H6" i="4"/>
  <c r="H8" i="3"/>
  <c r="H7" i="3"/>
  <c r="H6" i="3"/>
  <c r="H9" i="3"/>
  <c r="H52" i="3" s="1"/>
  <c r="F24" i="4"/>
  <c r="E24" i="4"/>
  <c r="H7" i="4"/>
  <c r="H8" i="4"/>
  <c r="G10" i="7"/>
  <c r="G17" i="7" s="1"/>
  <c r="G10" i="3"/>
  <c r="G19" i="3" s="1"/>
  <c r="F10" i="7"/>
  <c r="F17" i="7" s="1"/>
  <c r="F10" i="3"/>
  <c r="F19" i="3" s="1"/>
  <c r="G20" i="4"/>
  <c r="H9" i="7"/>
  <c r="H5" i="7" s="1"/>
  <c r="F35" i="7"/>
  <c r="G35" i="7"/>
  <c r="E35" i="7"/>
  <c r="H80" i="3"/>
  <c r="H81" i="3"/>
  <c r="H82" i="3"/>
  <c r="G39" i="3"/>
  <c r="G40" i="3"/>
  <c r="G41" i="3"/>
  <c r="G42" i="3"/>
  <c r="G38" i="3"/>
  <c r="F39" i="3"/>
  <c r="F40" i="3"/>
  <c r="F41" i="3"/>
  <c r="F42" i="3"/>
  <c r="F38" i="3"/>
  <c r="E40" i="3"/>
  <c r="E41" i="3"/>
  <c r="E79" i="4"/>
  <c r="E77" i="4"/>
  <c r="G76" i="4"/>
  <c r="E76" i="4"/>
  <c r="C4" i="5"/>
  <c r="D4" i="5"/>
  <c r="E4" i="5"/>
  <c r="G85" i="3"/>
  <c r="E6" i="5" s="1"/>
  <c r="F85" i="3"/>
  <c r="D6" i="5" s="1"/>
  <c r="E85" i="3"/>
  <c r="C6" i="5" s="1"/>
  <c r="E69" i="3"/>
  <c r="G69" i="3"/>
  <c r="F69" i="3"/>
  <c r="G53" i="3"/>
  <c r="F53" i="3"/>
  <c r="H68" i="3" l="1"/>
  <c r="H59" i="3"/>
  <c r="H67" i="3"/>
  <c r="H62" i="3"/>
  <c r="H92" i="3"/>
  <c r="E9" i="7"/>
  <c r="F11" i="3"/>
  <c r="F9" i="7"/>
  <c r="G11" i="3"/>
  <c r="G9" i="7"/>
  <c r="E11" i="3"/>
  <c r="F16" i="7" l="1"/>
  <c r="F18" i="7"/>
  <c r="E22" i="3"/>
  <c r="E23" i="3"/>
  <c r="E20" i="3"/>
  <c r="G16" i="7"/>
  <c r="G18" i="7"/>
  <c r="E16" i="7"/>
  <c r="E18" i="7"/>
  <c r="F22" i="3"/>
  <c r="F20" i="3"/>
  <c r="F21" i="3"/>
  <c r="F23" i="3"/>
  <c r="G20" i="3"/>
  <c r="G23" i="3"/>
  <c r="G22" i="3"/>
  <c r="G21" i="3"/>
  <c r="H32" i="7"/>
  <c r="H84" i="3"/>
  <c r="H75" i="3"/>
  <c r="H83" i="3"/>
  <c r="H79" i="3"/>
  <c r="E21" i="3"/>
  <c r="H35" i="4"/>
  <c r="H31" i="4"/>
  <c r="H100" i="4" s="1"/>
  <c r="H7" i="7" l="1"/>
  <c r="H85" i="3"/>
  <c r="F6" i="5" s="1"/>
  <c r="H38" i="4"/>
  <c r="H104" i="4"/>
  <c r="E3" i="5"/>
  <c r="E5" i="5" s="1"/>
  <c r="C3" i="5"/>
  <c r="C5" i="5" s="1"/>
  <c r="H5" i="5" s="1"/>
  <c r="D3" i="5"/>
  <c r="D5" i="5" s="1"/>
  <c r="I5" i="5" s="1"/>
  <c r="G5" i="1"/>
  <c r="E10" i="5" l="1"/>
  <c r="E14" i="5" s="1"/>
  <c r="E18" i="5" s="1"/>
  <c r="E21" i="5" s="1"/>
  <c r="J5" i="5"/>
  <c r="H33" i="4"/>
  <c r="H99" i="4"/>
  <c r="E53" i="3"/>
  <c r="E122" i="4" l="1"/>
  <c r="F122" i="4"/>
  <c r="H122" i="4"/>
  <c r="H50" i="3" l="1"/>
  <c r="H49" i="3"/>
  <c r="C10" i="5"/>
  <c r="C14" i="5" s="1"/>
  <c r="C18" i="5" s="1"/>
  <c r="C21" i="5" s="1"/>
  <c r="D10" i="5"/>
  <c r="D14" i="5" s="1"/>
  <c r="D18" i="5" s="1"/>
  <c r="D21" i="5" s="1"/>
  <c r="H34" i="7" l="1"/>
  <c r="H10" i="7" l="1"/>
  <c r="H6" i="7" l="1"/>
  <c r="H33" i="7" s="1"/>
  <c r="H107" i="4"/>
  <c r="H10" i="3"/>
  <c r="H5" i="3" l="1"/>
  <c r="H48" i="3" s="1"/>
  <c r="H35" i="7"/>
  <c r="H102" i="4"/>
  <c r="H61" i="3" l="1"/>
  <c r="H69" i="3" s="1"/>
  <c r="H93" i="3" s="1"/>
  <c r="H108" i="4"/>
  <c r="F3" i="5" s="1"/>
  <c r="H51" i="3" l="1"/>
  <c r="H53" i="3" s="1"/>
  <c r="H91" i="3" s="1"/>
  <c r="H94" i="3" l="1"/>
  <c r="H96" i="3" s="1"/>
  <c r="H99" i="3" s="1"/>
  <c r="H102" i="3" s="1"/>
  <c r="H104" i="3" s="1"/>
  <c r="F4" i="5" s="1"/>
  <c r="F5" i="5" s="1"/>
  <c r="K5" i="5" l="1"/>
  <c r="F10" i="5"/>
  <c r="F14" i="5" s="1"/>
  <c r="F18" i="5" s="1"/>
  <c r="F21" i="5" s="1"/>
  <c r="E13" i="1" s="1"/>
  <c r="H5" i="1" l="1"/>
</calcChain>
</file>

<file path=xl/sharedStrings.xml><?xml version="1.0" encoding="utf-8"?>
<sst xmlns="http://schemas.openxmlformats.org/spreadsheetml/2006/main" count="332" uniqueCount="142">
  <si>
    <t>مقدار تولید</t>
  </si>
  <si>
    <t>شرح</t>
  </si>
  <si>
    <t>واحد</t>
  </si>
  <si>
    <t>تن</t>
  </si>
  <si>
    <t>جمع کل</t>
  </si>
  <si>
    <t>نسبت تولید به کل تولید</t>
  </si>
  <si>
    <t>سال</t>
  </si>
  <si>
    <t>درآمد ارائه خدمات - مبلغ</t>
  </si>
  <si>
    <t>ریال</t>
  </si>
  <si>
    <t>مقدار تولید - داخلی</t>
  </si>
  <si>
    <t>مبلغ فروش - داخلی</t>
  </si>
  <si>
    <t>نرخ فروش - داخلی</t>
  </si>
  <si>
    <t>نرخ فروش - صادراتی</t>
  </si>
  <si>
    <t>مقدار فروش (تعداد) - داخلی</t>
  </si>
  <si>
    <t>مقدار فروش (تعداد) - صادراتی</t>
  </si>
  <si>
    <t>مبلغ فروش - صادراتی</t>
  </si>
  <si>
    <t>دلار</t>
  </si>
  <si>
    <t>نرخ  دلار</t>
  </si>
  <si>
    <t>مقدار مصرف مواد اولیه</t>
  </si>
  <si>
    <t>ضریب مصرف</t>
  </si>
  <si>
    <t>نرخ  مواد اولیه</t>
  </si>
  <si>
    <t>مبلغ  مواد مصرفی</t>
  </si>
  <si>
    <t>جمع</t>
  </si>
  <si>
    <t>سربار</t>
  </si>
  <si>
    <t>هزینه های اداری و عمومی و فروش</t>
  </si>
  <si>
    <t>بهای تمام شده کالای فروش رفته</t>
  </si>
  <si>
    <t>درآمدهای عملیاتی</t>
  </si>
  <si>
    <t>بهاى تمام شده درآمدهای عملیاتی</t>
  </si>
  <si>
    <t>سود (زيان) ناخالص</t>
  </si>
  <si>
    <t>هزينه‏‌هاى فروش، ادارى و عمومى</t>
  </si>
  <si>
    <t>هزینه کاهش ارزش دریافتنی‌‏ها (هزینه استثنایی)</t>
  </si>
  <si>
    <t>ساير درآمدها</t>
  </si>
  <si>
    <t>سایر هزینه‌ها</t>
  </si>
  <si>
    <t>سود (زيان) عملياتي</t>
  </si>
  <si>
    <t>هزينه‏‌هاى مالى</t>
  </si>
  <si>
    <t>سایر درآمدها و هزینه‌های غیرعملیاتی- درآمد سرمایه‌گذاری‌ها</t>
  </si>
  <si>
    <t>سایر درآمدها و هزینه‌های غیرعملیاتی- اقلام متفرقه</t>
  </si>
  <si>
    <t>سود (زيان) عمليات در حال تداوم قبل از ماليات</t>
  </si>
  <si>
    <t>هزینه مالیات بر درآمد:</t>
  </si>
  <si>
    <t>سال جاری</t>
  </si>
  <si>
    <t>سال‌های قبل</t>
  </si>
  <si>
    <t>سود (زيان) خالص عمليات در حال تداوم</t>
  </si>
  <si>
    <t>عملیات متوقف شده:</t>
  </si>
  <si>
    <t>سود (زیان) خالص عملیات متوقف شده</t>
  </si>
  <si>
    <t>سود (زيان) خالص</t>
  </si>
  <si>
    <t>مفروضات تحلیل حساسیت</t>
  </si>
  <si>
    <t>برآورد سود خالص</t>
  </si>
  <si>
    <t>مجموعه آموزشی رز</t>
  </si>
  <si>
    <t>سود خالص</t>
  </si>
  <si>
    <t>اطلاعات تکمیلی</t>
  </si>
  <si>
    <t>ردیف</t>
  </si>
  <si>
    <t>مقدار فروش (تعداد)</t>
  </si>
  <si>
    <t>مبلغ فروش</t>
  </si>
  <si>
    <t>درآمد ارائه خدمات</t>
  </si>
  <si>
    <t>نرخ فروش</t>
  </si>
  <si>
    <t>مقدار کل برق و گاز مصرفی</t>
  </si>
  <si>
    <t>نرخ</t>
  </si>
  <si>
    <t xml:space="preserve">گاز طبیعی </t>
  </si>
  <si>
    <t>مقدار مصرف - مبلغ</t>
  </si>
  <si>
    <t>جمع داخلی</t>
  </si>
  <si>
    <t>کلینکر</t>
  </si>
  <si>
    <t>جمع صادراتی</t>
  </si>
  <si>
    <t>داخلی</t>
  </si>
  <si>
    <t>صادراتی</t>
  </si>
  <si>
    <t>نرخ تسعیر</t>
  </si>
  <si>
    <t xml:space="preserve">3 ماهه </t>
  </si>
  <si>
    <t>3 ماهه</t>
  </si>
  <si>
    <t>مارل</t>
  </si>
  <si>
    <t>هزینه حقوق و دستمزد</t>
  </si>
  <si>
    <t>هزینه استهلاک</t>
  </si>
  <si>
    <t>هزینه انرژی (آب، برق، گاز و سوخت)</t>
  </si>
  <si>
    <t>هزینه مواد مصرفی</t>
  </si>
  <si>
    <t>هزینه تبلیغات</t>
  </si>
  <si>
    <t>حق العمل و کمیسیون فروش</t>
  </si>
  <si>
    <t>هزینه خدمات پس از فروش</t>
  </si>
  <si>
    <t>هزینه مطالبات مشکوک الوصول</t>
  </si>
  <si>
    <t>هزینه حمل و نقل و انتقال</t>
  </si>
  <si>
    <t>سایر هزینه ها</t>
  </si>
  <si>
    <t>مواد مستقیم مصرفی</t>
  </si>
  <si>
    <t>دستمزدمستقيم توليد</t>
  </si>
  <si>
    <t>سربارتوليد</t>
  </si>
  <si>
    <t>هزينه جذب نشده درتوليد</t>
  </si>
  <si>
    <t>جمع هزينه هاي توليد</t>
  </si>
  <si>
    <t>خالص موجودی كالاي درجريان ساخت</t>
  </si>
  <si>
    <t>ضايعات غيرعادي</t>
  </si>
  <si>
    <t>بهاي تمام شده كالاي تولید شده</t>
  </si>
  <si>
    <t>موجودي كالاي ساخته شده اول دوره</t>
  </si>
  <si>
    <t>موجودي كالاي ساخته شده پايان دوره</t>
  </si>
  <si>
    <t>بهاي تمام شده كالاي فروش رفته</t>
  </si>
  <si>
    <t>بهاي تمام شده خدمات ارایه شده</t>
  </si>
  <si>
    <t>نسبت فروش  به کل فروش ( کل تولید )</t>
  </si>
  <si>
    <t>تولید کلینکر</t>
  </si>
  <si>
    <t>نسبت نرخ محصولات به سیمان پاکتی داخلی</t>
  </si>
  <si>
    <t>نسبت نرخ محصولات به سیمان داخلی</t>
  </si>
  <si>
    <t>جمع تولید سیمان</t>
  </si>
  <si>
    <t>جمع تولید کلینکر</t>
  </si>
  <si>
    <t xml:space="preserve">نسبت نرخ مواد اولیه نسبت به سیمان داخلی در بورس کالا </t>
  </si>
  <si>
    <t>مازوت</t>
  </si>
  <si>
    <t>جمع سیمان</t>
  </si>
  <si>
    <t>با نرخ رشد</t>
  </si>
  <si>
    <t>جمع کل فروش سیمان</t>
  </si>
  <si>
    <t>جمع کلینکر</t>
  </si>
  <si>
    <t>کلینکر صادراتی</t>
  </si>
  <si>
    <t>5% گچ</t>
  </si>
  <si>
    <t>95%کلینکر</t>
  </si>
  <si>
    <t>ضریب مصرف به کلینکر</t>
  </si>
  <si>
    <t>سال 1404</t>
  </si>
  <si>
    <t>سیمان فله 1</t>
  </si>
  <si>
    <t>سیمان پاکتی 2</t>
  </si>
  <si>
    <t>سیمان فله 2</t>
  </si>
  <si>
    <t>سیمان فله1</t>
  </si>
  <si>
    <t xml:space="preserve">کلینکر </t>
  </si>
  <si>
    <t>سیمان پاکت 1</t>
  </si>
  <si>
    <t>سهم سیمان از کل کلینکر</t>
  </si>
  <si>
    <t>جمع تولیدات</t>
  </si>
  <si>
    <t>کلینکر داخلی</t>
  </si>
  <si>
    <t>جمع کل فروش کلینکر</t>
  </si>
  <si>
    <t>نرخ دلاری کلینکر صادراتی</t>
  </si>
  <si>
    <t>سنگ گچ</t>
  </si>
  <si>
    <t>سنگ آهن</t>
  </si>
  <si>
    <t>سنگ آهک</t>
  </si>
  <si>
    <t>سنگ سيليس</t>
  </si>
  <si>
    <t>تورم</t>
  </si>
  <si>
    <t>درصد رشد یا کاهش تولید</t>
  </si>
  <si>
    <t>دوره منتهي به 1402/09/30</t>
  </si>
  <si>
    <t>دوره منتهي به 1403/09/30</t>
  </si>
  <si>
    <t>3 ماهه منتهي به 1403/12/30</t>
  </si>
  <si>
    <t>دوره منتهي به 1404/09/30</t>
  </si>
  <si>
    <t>مترمکعب</t>
  </si>
  <si>
    <t>برق</t>
  </si>
  <si>
    <t>مگاوات ساعت</t>
  </si>
  <si>
    <t>سهم کلینکر از تولیدات  کل کلینکر</t>
  </si>
  <si>
    <t>جمع کل تولیدات باید از جمع کل کلینکر بیشتر باشد چون یکمی هم سنگ گچ اضافه میکنیم</t>
  </si>
  <si>
    <t>درصد فروش سیمان به تولیدش</t>
  </si>
  <si>
    <t>درصد فروش کلینکر به تولیدش</t>
  </si>
  <si>
    <t>محاسبات شده</t>
  </si>
  <si>
    <t>ابتدای دوره</t>
  </si>
  <si>
    <t>برآورد شرکت</t>
  </si>
  <si>
    <t>قیمت دلار</t>
  </si>
  <si>
    <t>تحلیل حساسیت ساروج</t>
  </si>
  <si>
    <t>نسبت نرخ انواع سیمان به کلینکر صادراتی</t>
  </si>
  <si>
    <t>نرخ دلاری فروش کلینکر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</si>
</sst>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_);[Red]\(0\)"/>
    <numFmt numFmtId="165" formatCode="#,##0;[Red]#,##0"/>
    <numFmt numFmtId="166" formatCode="0.0%"/>
    <numFmt numFmtId="167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43766C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rgb="FF43766C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E2A0"/>
        <bgColor indexed="64"/>
      </patternFill>
    </fill>
    <fill>
      <patternFill patternType="solid">
        <fgColor rgb="FF43766C"/>
        <bgColor indexed="64"/>
      </patternFill>
    </fill>
    <fill>
      <patternFill patternType="solid">
        <fgColor rgb="FFB19470"/>
        <bgColor indexed="64"/>
      </patternFill>
    </fill>
    <fill>
      <patternFill patternType="solid">
        <fgColor theme="0"/>
        <bgColor theme="6" tint="0.79998168889431442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6" tint="0.39997558519241921"/>
      </left>
      <right/>
      <top style="thin">
        <color theme="6" tint="0.39997558519241921"/>
      </top>
      <bottom/>
      <diagonal/>
    </border>
    <border>
      <left/>
      <right/>
      <top style="thin">
        <color theme="6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2" tint="-9.9948118533890809E-2"/>
      </left>
      <right/>
      <top style="thin">
        <color theme="2" tint="-9.9948118533890809E-2"/>
      </top>
      <bottom/>
      <diagonal/>
    </border>
    <border>
      <left/>
      <right/>
      <top style="thin">
        <color theme="2" tint="-9.9948118533890809E-2"/>
      </top>
      <bottom/>
      <diagonal/>
    </border>
    <border>
      <left/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/>
      <top/>
      <bottom/>
      <diagonal/>
    </border>
    <border>
      <left/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/>
      <top/>
      <bottom style="thin">
        <color theme="2" tint="-9.9948118533890809E-2"/>
      </bottom>
      <diagonal/>
    </border>
    <border>
      <left/>
      <right/>
      <top/>
      <bottom style="thin">
        <color theme="2" tint="-9.9948118533890809E-2"/>
      </bottom>
      <diagonal/>
    </border>
    <border>
      <left/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6" tint="0.39997558519241921"/>
      </left>
      <right/>
      <top style="thin">
        <color theme="2"/>
      </top>
      <bottom style="thin">
        <color theme="6" tint="0.39997558519241921"/>
      </bottom>
      <diagonal/>
    </border>
    <border>
      <left/>
      <right/>
      <top style="thin">
        <color theme="2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2"/>
      </top>
      <bottom style="thin">
        <color theme="6" tint="0.39997558519241921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/>
      <diagonal/>
    </border>
    <border>
      <left style="thin">
        <color theme="6" tint="0.39997558519241921"/>
      </left>
      <right/>
      <top style="thin">
        <color theme="6" tint="0.39994506668294322"/>
      </top>
      <bottom style="thin">
        <color theme="6" tint="0.39997558519241921"/>
      </bottom>
      <diagonal/>
    </border>
    <border>
      <left/>
      <right/>
      <top style="thin">
        <color theme="6" tint="0.39994506668294322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4506668294322"/>
      </top>
      <bottom style="thin">
        <color theme="6" tint="0.39997558519241921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indexed="64"/>
      </bottom>
      <diagonal/>
    </border>
    <border>
      <left/>
      <right/>
      <top style="thin">
        <color theme="6" tint="0.39997558519241921"/>
      </top>
      <bottom style="thin">
        <color indexed="64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3" fontId="0" fillId="0" borderId="0" xfId="0" applyNumberFormat="1" applyAlignment="1">
      <alignment horizontal="center" vertical="center" wrapText="1"/>
    </xf>
    <xf numFmtId="3" fontId="2" fillId="7" borderId="1" xfId="0" applyNumberFormat="1" applyFont="1" applyFill="1" applyBorder="1" applyAlignment="1">
      <alignment horizontal="center" vertical="center" wrapText="1"/>
    </xf>
    <xf numFmtId="3" fontId="7" fillId="7" borderId="11" xfId="0" applyNumberFormat="1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center" vertical="center"/>
    </xf>
    <xf numFmtId="3" fontId="3" fillId="5" borderId="1" xfId="1" applyNumberFormat="1" applyFont="1" applyFill="1" applyBorder="1" applyAlignment="1">
      <alignment horizontal="center" vertical="center"/>
    </xf>
    <xf numFmtId="3" fontId="8" fillId="7" borderId="1" xfId="0" applyNumberFormat="1" applyFont="1" applyFill="1" applyBorder="1" applyAlignment="1">
      <alignment horizontal="center" vertical="center"/>
    </xf>
    <xf numFmtId="3" fontId="2" fillId="7" borderId="12" xfId="0" applyNumberFormat="1" applyFont="1" applyFill="1" applyBorder="1" applyAlignment="1">
      <alignment vertical="center" wrapText="1"/>
    </xf>
    <xf numFmtId="3" fontId="2" fillId="7" borderId="18" xfId="0" applyNumberFormat="1" applyFont="1" applyFill="1" applyBorder="1" applyAlignment="1">
      <alignment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3" fontId="9" fillId="7" borderId="1" xfId="0" applyNumberFormat="1" applyFont="1" applyFill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 wrapText="1"/>
    </xf>
    <xf numFmtId="3" fontId="0" fillId="0" borderId="20" xfId="0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3" fontId="2" fillId="4" borderId="28" xfId="2" applyNumberFormat="1" applyFont="1" applyFill="1" applyBorder="1" applyAlignment="1">
      <alignment horizontal="center" vertical="center" wrapText="1"/>
    </xf>
    <xf numFmtId="3" fontId="2" fillId="4" borderId="29" xfId="2" applyNumberFormat="1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 indent="1"/>
    </xf>
    <xf numFmtId="3" fontId="11" fillId="7" borderId="1" xfId="0" applyNumberFormat="1" applyFont="1" applyFill="1" applyBorder="1" applyAlignment="1">
      <alignment horizontal="center" vertical="center" wrapText="1"/>
    </xf>
    <xf numFmtId="3" fontId="2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3" fontId="0" fillId="0" borderId="33" xfId="0" applyNumberFormat="1" applyBorder="1" applyAlignment="1">
      <alignment horizontal="center" vertical="center" wrapText="1"/>
    </xf>
    <xf numFmtId="3" fontId="0" fillId="0" borderId="34" xfId="0" applyNumberFormat="1" applyBorder="1" applyAlignment="1">
      <alignment horizontal="center" vertical="center" wrapText="1"/>
    </xf>
    <xf numFmtId="3" fontId="0" fillId="0" borderId="35" xfId="0" applyNumberFormat="1" applyBorder="1" applyAlignment="1">
      <alignment horizontal="center" vertical="center" wrapText="1"/>
    </xf>
    <xf numFmtId="3" fontId="0" fillId="0" borderId="36" xfId="0" applyNumberFormat="1" applyBorder="1" applyAlignment="1">
      <alignment horizontal="center" vertical="center" wrapText="1"/>
    </xf>
    <xf numFmtId="9" fontId="0" fillId="0" borderId="36" xfId="2" applyFont="1" applyBorder="1" applyAlignment="1">
      <alignment horizontal="center" vertical="center" wrapText="1"/>
    </xf>
    <xf numFmtId="3" fontId="0" fillId="0" borderId="37" xfId="0" applyNumberFormat="1" applyBorder="1" applyAlignment="1">
      <alignment horizontal="center" vertical="center" wrapText="1"/>
    </xf>
    <xf numFmtId="3" fontId="0" fillId="0" borderId="39" xfId="0" applyNumberFormat="1" applyBorder="1" applyAlignment="1">
      <alignment horizontal="center" vertical="center" wrapText="1"/>
    </xf>
    <xf numFmtId="3" fontId="0" fillId="0" borderId="40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41" xfId="0" applyNumberFormat="1" applyBorder="1" applyAlignment="1">
      <alignment horizontal="center" vertical="center" wrapText="1"/>
    </xf>
    <xf numFmtId="3" fontId="0" fillId="0" borderId="42" xfId="0" applyNumberFormat="1" applyBorder="1" applyAlignment="1">
      <alignment horizontal="center" vertical="center" wrapText="1"/>
    </xf>
    <xf numFmtId="3" fontId="2" fillId="4" borderId="0" xfId="0" applyNumberFormat="1" applyFont="1" applyFill="1" applyAlignment="1">
      <alignment horizontal="center" vertical="center" wrapText="1"/>
    </xf>
    <xf numFmtId="3" fontId="3" fillId="0" borderId="23" xfId="0" applyNumberFormat="1" applyFont="1" applyBorder="1" applyAlignment="1">
      <alignment horizontal="center" vertical="center" wrapText="1"/>
    </xf>
    <xf numFmtId="3" fontId="12" fillId="7" borderId="0" xfId="0" applyNumberFormat="1" applyFont="1" applyFill="1" applyAlignment="1">
      <alignment horizontal="center" vertical="center" wrapText="1"/>
    </xf>
    <xf numFmtId="3" fontId="13" fillId="7" borderId="0" xfId="0" applyNumberFormat="1" applyFont="1" applyFill="1" applyAlignment="1">
      <alignment horizontal="center" vertical="center" wrapText="1"/>
    </xf>
    <xf numFmtId="3" fontId="10" fillId="7" borderId="38" xfId="0" applyNumberFormat="1" applyFont="1" applyFill="1" applyBorder="1" applyAlignment="1">
      <alignment vertical="center" wrapText="1"/>
    </xf>
    <xf numFmtId="3" fontId="10" fillId="7" borderId="18" xfId="0" applyNumberFormat="1" applyFont="1" applyFill="1" applyBorder="1" applyAlignment="1">
      <alignment vertical="center" wrapText="1"/>
    </xf>
    <xf numFmtId="3" fontId="0" fillId="2" borderId="15" xfId="0" applyNumberFormat="1" applyFill="1" applyBorder="1" applyAlignment="1">
      <alignment horizontal="center" vertical="center" wrapText="1"/>
    </xf>
    <xf numFmtId="3" fontId="0" fillId="2" borderId="16" xfId="0" applyNumberFormat="1" applyFill="1" applyBorder="1" applyAlignment="1">
      <alignment horizontal="center" vertical="center" wrapText="1"/>
    </xf>
    <xf numFmtId="3" fontId="0" fillId="2" borderId="43" xfId="0" applyNumberFormat="1" applyFill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0" fillId="0" borderId="16" xfId="0" applyNumberFormat="1" applyBorder="1" applyAlignment="1">
      <alignment horizontal="center" vertical="center" wrapText="1"/>
    </xf>
    <xf numFmtId="3" fontId="0" fillId="0" borderId="43" xfId="0" applyNumberFormat="1" applyBorder="1" applyAlignment="1">
      <alignment horizontal="center" vertical="center" wrapText="1"/>
    </xf>
    <xf numFmtId="3" fontId="2" fillId="4" borderId="27" xfId="0" applyNumberFormat="1" applyFont="1" applyFill="1" applyBorder="1" applyAlignment="1">
      <alignment horizontal="center" vertical="center" wrapText="1"/>
    </xf>
    <xf numFmtId="3" fontId="2" fillId="4" borderId="28" xfId="0" applyNumberFormat="1" applyFont="1" applyFill="1" applyBorder="1" applyAlignment="1">
      <alignment horizontal="center" vertical="center" wrapText="1"/>
    </xf>
    <xf numFmtId="9" fontId="0" fillId="2" borderId="16" xfId="2" applyFont="1" applyFill="1" applyBorder="1" applyAlignment="1">
      <alignment horizontal="center" vertical="center" wrapText="1"/>
    </xf>
    <xf numFmtId="9" fontId="0" fillId="0" borderId="16" xfId="2" applyFont="1" applyBorder="1" applyAlignment="1">
      <alignment horizontal="center" vertical="center" wrapText="1"/>
    </xf>
    <xf numFmtId="9" fontId="0" fillId="0" borderId="43" xfId="2" applyFont="1" applyBorder="1" applyAlignment="1">
      <alignment horizontal="center" vertical="center" wrapText="1"/>
    </xf>
    <xf numFmtId="3" fontId="0" fillId="2" borderId="5" xfId="0" applyNumberFormat="1" applyFill="1" applyBorder="1" applyAlignment="1">
      <alignment horizontal="center" vertical="center" wrapText="1"/>
    </xf>
    <xf numFmtId="3" fontId="0" fillId="2" borderId="6" xfId="0" applyNumberFormat="1" applyFill="1" applyBorder="1" applyAlignment="1">
      <alignment horizontal="center" vertical="center" wrapText="1"/>
    </xf>
    <xf numFmtId="3" fontId="4" fillId="2" borderId="43" xfId="0" applyNumberFormat="1" applyFont="1" applyFill="1" applyBorder="1" applyAlignment="1">
      <alignment horizontal="center" vertical="center" wrapText="1"/>
    </xf>
    <xf numFmtId="3" fontId="10" fillId="8" borderId="9" xfId="0" applyNumberFormat="1" applyFont="1" applyFill="1" applyBorder="1" applyAlignment="1">
      <alignment vertical="center" wrapText="1"/>
    </xf>
    <xf numFmtId="3" fontId="10" fillId="8" borderId="10" xfId="0" applyNumberFormat="1" applyFont="1" applyFill="1" applyBorder="1" applyAlignment="1">
      <alignment vertical="center" wrapText="1"/>
    </xf>
    <xf numFmtId="3" fontId="10" fillId="7" borderId="31" xfId="0" applyNumberFormat="1" applyFont="1" applyFill="1" applyBorder="1" applyAlignment="1">
      <alignment vertical="center" wrapText="1"/>
    </xf>
    <xf numFmtId="3" fontId="10" fillId="7" borderId="32" xfId="0" applyNumberFormat="1" applyFont="1" applyFill="1" applyBorder="1" applyAlignment="1">
      <alignment vertical="center" wrapText="1"/>
    </xf>
    <xf numFmtId="164" fontId="5" fillId="2" borderId="15" xfId="1" applyNumberFormat="1" applyFont="1" applyFill="1" applyBorder="1" applyAlignment="1">
      <alignment horizontal="center" vertical="center" wrapText="1" shrinkToFit="1"/>
    </xf>
    <xf numFmtId="38" fontId="5" fillId="2" borderId="16" xfId="1" applyNumberFormat="1" applyFont="1" applyFill="1" applyBorder="1" applyAlignment="1">
      <alignment horizontal="center" vertical="center" shrinkToFit="1"/>
    </xf>
    <xf numFmtId="38" fontId="5" fillId="2" borderId="43" xfId="1" applyNumberFormat="1" applyFont="1" applyFill="1" applyBorder="1" applyAlignment="1">
      <alignment horizontal="center" vertical="center" shrinkToFit="1"/>
    </xf>
    <xf numFmtId="164" fontId="5" fillId="0" borderId="15" xfId="1" applyNumberFormat="1" applyFont="1" applyBorder="1" applyAlignment="1">
      <alignment horizontal="center" vertical="center" wrapText="1" shrinkToFit="1"/>
    </xf>
    <xf numFmtId="38" fontId="5" fillId="0" borderId="16" xfId="1" applyNumberFormat="1" applyFont="1" applyBorder="1" applyAlignment="1">
      <alignment horizontal="center" vertical="center" shrinkToFit="1"/>
    </xf>
    <xf numFmtId="38" fontId="5" fillId="0" borderId="43" xfId="1" applyNumberFormat="1" applyFont="1" applyBorder="1" applyAlignment="1">
      <alignment horizontal="center" vertical="center" shrinkToFit="1"/>
    </xf>
    <xf numFmtId="164" fontId="6" fillId="6" borderId="44" xfId="0" applyNumberFormat="1" applyFont="1" applyFill="1" applyBorder="1" applyAlignment="1">
      <alignment horizontal="center" vertical="center" wrapText="1" shrinkToFit="1"/>
    </xf>
    <xf numFmtId="38" fontId="6" fillId="6" borderId="45" xfId="0" applyNumberFormat="1" applyFont="1" applyFill="1" applyBorder="1" applyAlignment="1">
      <alignment horizontal="center" vertical="center" wrapText="1" shrinkToFit="1"/>
    </xf>
    <xf numFmtId="38" fontId="6" fillId="6" borderId="46" xfId="0" applyNumberFormat="1" applyFont="1" applyFill="1" applyBorder="1" applyAlignment="1">
      <alignment horizontal="center" vertical="center" wrapText="1" shrinkToFit="1"/>
    </xf>
    <xf numFmtId="38" fontId="5" fillId="0" borderId="16" xfId="1" applyNumberFormat="1" applyFont="1" applyBorder="1" applyAlignment="1">
      <alignment horizontal="center" vertical="center" wrapText="1" shrinkToFit="1"/>
    </xf>
    <xf numFmtId="38" fontId="5" fillId="2" borderId="16" xfId="1" applyNumberFormat="1" applyFont="1" applyFill="1" applyBorder="1" applyAlignment="1">
      <alignment horizontal="center" vertical="center" wrapText="1" shrinkToFit="1"/>
    </xf>
    <xf numFmtId="38" fontId="6" fillId="6" borderId="44" xfId="0" applyNumberFormat="1" applyFont="1" applyFill="1" applyBorder="1" applyAlignment="1">
      <alignment horizontal="center" vertical="center" wrapText="1" shrinkToFit="1"/>
    </xf>
    <xf numFmtId="38" fontId="5" fillId="0" borderId="43" xfId="1" applyNumberFormat="1" applyFont="1" applyBorder="1" applyAlignment="1">
      <alignment horizontal="center" vertical="center" wrapText="1" shrinkToFit="1"/>
    </xf>
    <xf numFmtId="3" fontId="0" fillId="0" borderId="47" xfId="0" applyNumberFormat="1" applyBorder="1" applyAlignment="1">
      <alignment horizontal="center" vertical="center" wrapText="1"/>
    </xf>
    <xf numFmtId="3" fontId="0" fillId="0" borderId="48" xfId="0" applyNumberFormat="1" applyBorder="1" applyAlignment="1">
      <alignment horizontal="center" vertical="center" wrapText="1"/>
    </xf>
    <xf numFmtId="3" fontId="0" fillId="0" borderId="49" xfId="0" applyNumberFormat="1" applyBorder="1" applyAlignment="1">
      <alignment horizontal="center" vertical="center" wrapText="1"/>
    </xf>
    <xf numFmtId="9" fontId="0" fillId="0" borderId="0" xfId="2" applyFont="1" applyBorder="1" applyAlignment="1">
      <alignment horizontal="center" vertical="center" wrapText="1"/>
    </xf>
    <xf numFmtId="3" fontId="2" fillId="3" borderId="12" xfId="0" applyNumberFormat="1" applyFont="1" applyFill="1" applyBorder="1" applyAlignment="1">
      <alignment horizontal="center" vertical="center" wrapText="1"/>
    </xf>
    <xf numFmtId="3" fontId="2" fillId="3" borderId="38" xfId="0" applyNumberFormat="1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9" fontId="0" fillId="0" borderId="15" xfId="2" applyFont="1" applyBorder="1" applyAlignment="1">
      <alignment horizontal="center" vertical="center" wrapText="1"/>
    </xf>
    <xf numFmtId="9" fontId="0" fillId="0" borderId="0" xfId="2" applyFont="1" applyAlignment="1">
      <alignment horizontal="center" vertical="center" wrapText="1"/>
    </xf>
    <xf numFmtId="3" fontId="2" fillId="4" borderId="2" xfId="0" applyNumberFormat="1" applyFont="1" applyFill="1" applyBorder="1" applyAlignment="1">
      <alignment horizontal="center" vertical="center" wrapText="1"/>
    </xf>
    <xf numFmtId="3" fontId="2" fillId="4" borderId="3" xfId="0" applyNumberFormat="1" applyFont="1" applyFill="1" applyBorder="1" applyAlignment="1">
      <alignment horizontal="center" vertical="center" wrapText="1"/>
    </xf>
    <xf numFmtId="166" fontId="0" fillId="2" borderId="16" xfId="2" applyNumberFormat="1" applyFont="1" applyFill="1" applyBorder="1" applyAlignment="1">
      <alignment horizontal="center" vertical="center" wrapText="1"/>
    </xf>
    <xf numFmtId="166" fontId="0" fillId="9" borderId="16" xfId="2" applyNumberFormat="1" applyFont="1" applyFill="1" applyBorder="1" applyAlignment="1">
      <alignment horizontal="center" vertical="center" wrapText="1"/>
    </xf>
    <xf numFmtId="9" fontId="3" fillId="5" borderId="1" xfId="2" applyFont="1" applyFill="1" applyBorder="1" applyAlignment="1">
      <alignment horizontal="center" vertical="center"/>
    </xf>
    <xf numFmtId="43" fontId="0" fillId="2" borderId="16" xfId="1" applyFont="1" applyFill="1" applyBorder="1" applyAlignment="1">
      <alignment horizontal="center" vertical="center" wrapText="1"/>
    </xf>
    <xf numFmtId="43" fontId="0" fillId="2" borderId="43" xfId="1" applyFont="1" applyFill="1" applyBorder="1" applyAlignment="1">
      <alignment horizontal="center" vertical="center" wrapText="1"/>
    </xf>
    <xf numFmtId="43" fontId="0" fillId="0" borderId="0" xfId="1" applyFont="1" applyAlignment="1">
      <alignment horizontal="center" vertical="center" wrapText="1"/>
    </xf>
    <xf numFmtId="3" fontId="14" fillId="0" borderId="11" xfId="0" applyNumberFormat="1" applyFont="1" applyBorder="1" applyAlignment="1">
      <alignment horizontal="center" vertical="center" wrapText="1"/>
    </xf>
    <xf numFmtId="3" fontId="14" fillId="0" borderId="41" xfId="0" applyNumberFormat="1" applyFont="1" applyBorder="1" applyAlignment="1">
      <alignment horizontal="center" vertical="center" wrapText="1"/>
    </xf>
    <xf numFmtId="3" fontId="14" fillId="2" borderId="15" xfId="0" applyNumberFormat="1" applyFont="1" applyFill="1" applyBorder="1" applyAlignment="1">
      <alignment horizontal="center" vertical="center" wrapText="1"/>
    </xf>
    <xf numFmtId="3" fontId="14" fillId="2" borderId="16" xfId="0" applyNumberFormat="1" applyFont="1" applyFill="1" applyBorder="1" applyAlignment="1">
      <alignment horizontal="center" vertical="center" wrapText="1"/>
    </xf>
    <xf numFmtId="3" fontId="14" fillId="2" borderId="43" xfId="0" applyNumberFormat="1" applyFont="1" applyFill="1" applyBorder="1" applyAlignment="1">
      <alignment horizontal="center" vertical="center" wrapText="1"/>
    </xf>
    <xf numFmtId="9" fontId="2" fillId="4" borderId="28" xfId="2" applyFont="1" applyFill="1" applyBorder="1" applyAlignment="1">
      <alignment horizontal="center" vertical="center" wrapText="1"/>
    </xf>
    <xf numFmtId="167" fontId="0" fillId="0" borderId="0" xfId="1" applyNumberFormat="1" applyFont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3" fontId="2" fillId="4" borderId="0" xfId="2" applyNumberFormat="1" applyFont="1" applyFill="1" applyBorder="1" applyAlignment="1">
      <alignment horizontal="center" vertical="center" wrapText="1"/>
    </xf>
    <xf numFmtId="9" fontId="2" fillId="4" borderId="0" xfId="2" applyFont="1" applyFill="1" applyBorder="1" applyAlignment="1">
      <alignment horizontal="center" vertical="center" wrapText="1"/>
    </xf>
    <xf numFmtId="3" fontId="0" fillId="2" borderId="15" xfId="0" quotePrefix="1" applyNumberFormat="1" applyFill="1" applyBorder="1" applyAlignment="1">
      <alignment horizontal="center" vertical="center" wrapText="1"/>
    </xf>
    <xf numFmtId="9" fontId="0" fillId="0" borderId="41" xfId="2" applyFont="1" applyBorder="1" applyAlignment="1">
      <alignment horizontal="center" vertical="center" wrapText="1"/>
    </xf>
    <xf numFmtId="3" fontId="9" fillId="7" borderId="2" xfId="0" applyNumberFormat="1" applyFont="1" applyFill="1" applyBorder="1" applyAlignment="1">
      <alignment horizontal="center" vertical="center" wrapText="1"/>
    </xf>
    <xf numFmtId="3" fontId="9" fillId="7" borderId="3" xfId="0" applyNumberFormat="1" applyFont="1" applyFill="1" applyBorder="1" applyAlignment="1">
      <alignment horizontal="center" vertical="center" wrapText="1"/>
    </xf>
    <xf numFmtId="3" fontId="9" fillId="7" borderId="4" xfId="0" applyNumberFormat="1" applyFont="1" applyFill="1" applyBorder="1" applyAlignment="1">
      <alignment horizontal="center" vertical="center" wrapText="1"/>
    </xf>
    <xf numFmtId="3" fontId="8" fillId="7" borderId="0" xfId="0" applyNumberFormat="1" applyFont="1" applyFill="1" applyAlignment="1">
      <alignment horizontal="center" vertical="center" wrapText="1"/>
    </xf>
    <xf numFmtId="3" fontId="8" fillId="7" borderId="2" xfId="0" applyNumberFormat="1" applyFont="1" applyFill="1" applyBorder="1" applyAlignment="1">
      <alignment horizontal="center" vertical="center" wrapText="1"/>
    </xf>
    <xf numFmtId="3" fontId="8" fillId="7" borderId="3" xfId="0" applyNumberFormat="1" applyFont="1" applyFill="1" applyBorder="1" applyAlignment="1">
      <alignment horizontal="center" vertical="center" wrapText="1"/>
    </xf>
    <xf numFmtId="3" fontId="8" fillId="7" borderId="4" xfId="0" applyNumberFormat="1" applyFont="1" applyFill="1" applyBorder="1" applyAlignment="1">
      <alignment horizontal="center" vertical="center" wrapText="1"/>
    </xf>
    <xf numFmtId="3" fontId="8" fillId="7" borderId="17" xfId="0" applyNumberFormat="1" applyFont="1" applyFill="1" applyBorder="1" applyAlignment="1">
      <alignment horizontal="center" vertical="center" textRotation="90" wrapText="1"/>
    </xf>
    <xf numFmtId="3" fontId="8" fillId="7" borderId="14" xfId="0" applyNumberFormat="1" applyFont="1" applyFill="1" applyBorder="1" applyAlignment="1">
      <alignment horizontal="center" vertical="center" textRotation="90" wrapText="1"/>
    </xf>
    <xf numFmtId="3" fontId="8" fillId="7" borderId="13" xfId="0" applyNumberFormat="1" applyFont="1" applyFill="1" applyBorder="1" applyAlignment="1">
      <alignment horizontal="center" vertical="center" textRotation="90" wrapText="1"/>
    </xf>
    <xf numFmtId="3" fontId="0" fillId="0" borderId="1" xfId="0" applyNumberFormat="1" applyBorder="1" applyAlignment="1">
      <alignment horizontal="center" vertical="center" wrapText="1"/>
    </xf>
    <xf numFmtId="3" fontId="10" fillId="8" borderId="8" xfId="0" applyNumberFormat="1" applyFont="1" applyFill="1" applyBorder="1" applyAlignment="1">
      <alignment horizontal="center" vertical="center" wrapText="1"/>
    </xf>
    <xf numFmtId="3" fontId="10" fillId="8" borderId="9" xfId="0" applyNumberFormat="1" applyFont="1" applyFill="1" applyBorder="1" applyAlignment="1">
      <alignment horizontal="center" vertical="center" wrapText="1"/>
    </xf>
    <xf numFmtId="3" fontId="10" fillId="7" borderId="12" xfId="0" applyNumberFormat="1" applyFont="1" applyFill="1" applyBorder="1" applyAlignment="1">
      <alignment horizontal="center" vertical="center" wrapText="1"/>
    </xf>
    <xf numFmtId="3" fontId="10" fillId="7" borderId="38" xfId="0" applyNumberFormat="1" applyFont="1" applyFill="1" applyBorder="1" applyAlignment="1">
      <alignment horizontal="center" vertical="center" wrapText="1"/>
    </xf>
    <xf numFmtId="3" fontId="10" fillId="7" borderId="30" xfId="0" applyNumberFormat="1" applyFont="1" applyFill="1" applyBorder="1" applyAlignment="1">
      <alignment horizontal="center" vertical="center" wrapText="1"/>
    </xf>
    <xf numFmtId="3" fontId="10" fillId="7" borderId="31" xfId="0" applyNumberFormat="1" applyFont="1" applyFill="1" applyBorder="1" applyAlignment="1">
      <alignment horizontal="center" vertical="center" wrapText="1"/>
    </xf>
    <xf numFmtId="3" fontId="0" fillId="2" borderId="5" xfId="0" applyNumberFormat="1" applyFill="1" applyBorder="1" applyAlignment="1">
      <alignment horizontal="center" vertical="center" wrapText="1"/>
    </xf>
    <xf numFmtId="3" fontId="0" fillId="2" borderId="6" xfId="0" applyNumberFormat="1" applyFill="1" applyBorder="1" applyAlignment="1">
      <alignment horizontal="center" vertical="center" wrapText="1"/>
    </xf>
    <xf numFmtId="3" fontId="0" fillId="2" borderId="7" xfId="0" applyNumberFormat="1" applyFill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3" fontId="0" fillId="0" borderId="7" xfId="0" applyNumberFormat="1" applyBorder="1" applyAlignment="1">
      <alignment horizontal="center" vertical="center" wrapText="1"/>
    </xf>
    <xf numFmtId="3" fontId="10" fillId="8" borderId="10" xfId="0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4">
    <dxf>
      <numFmt numFmtId="3" formatCode="#,##0"/>
      <alignment horizontal="right" vertical="center" textRotation="0" wrapText="1" relativeIndent="1" justifyLastLine="0" shrinkToFit="0" readingOrder="0"/>
      <border outline="0">
        <left style="thin">
          <color theme="2" tint="-9.9948118533890809E-2"/>
        </left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2" tint="-9.9948118533890809E-2"/>
        </right>
        <top/>
        <bottom/>
      </border>
    </dxf>
    <dxf>
      <alignment horizontal="center" vertical="center" textRotation="0" wrapText="1" indent="0" justifyLastLine="0" shrinkToFit="0" readingOrder="0"/>
    </dxf>
    <dxf>
      <numFmt numFmtId="3" formatCode="#,##0"/>
      <fill>
        <patternFill patternType="solid">
          <fgColor indexed="64"/>
          <bgColor rgb="FF43766C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5757"/>
      <color rgb="FF00C85A"/>
      <color rgb="FFFF3B3B"/>
      <color rgb="FFFF1D1D"/>
      <color rgb="FFFF8F8F"/>
      <color rgb="FF43766C"/>
      <color rgb="FFB19470"/>
      <color rgb="FFF2F2F2"/>
      <color rgb="FFFFC7CE"/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2</xdr:row>
      <xdr:rowOff>47625</xdr:rowOff>
    </xdr:from>
    <xdr:to>
      <xdr:col>2</xdr:col>
      <xdr:colOff>457199</xdr:colOff>
      <xdr:row>2</xdr:row>
      <xdr:rowOff>476249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7C8E8C1-8154-FC4F-3995-1DC210B85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772376" y="552450"/>
          <a:ext cx="428624" cy="428624"/>
        </a:xfrm>
        <a:prstGeom prst="rect">
          <a:avLst/>
        </a:prstGeom>
      </xdr:spPr>
    </xdr:pic>
    <xdr:clientData/>
  </xdr:twoCellAnchor>
  <xdr:twoCellAnchor editAs="oneCell">
    <xdr:from>
      <xdr:col>10</xdr:col>
      <xdr:colOff>704850</xdr:colOff>
      <xdr:row>5</xdr:row>
      <xdr:rowOff>190501</xdr:rowOff>
    </xdr:from>
    <xdr:to>
      <xdr:col>14</xdr:col>
      <xdr:colOff>133348</xdr:colOff>
      <xdr:row>12</xdr:row>
      <xdr:rowOff>209549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93B4869-7BB5-4D50-84EC-834C97549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alphaModFix amt="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437752" y="2076451"/>
          <a:ext cx="3086098" cy="308609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2322EB34-1B09-497E-B448-5E9A729272CC}" name="Table28" displayName="Table28" ref="B2:C12" totalsRowShown="0" headerRowDxfId="3" dataDxfId="2">
  <autoFilter ref="B2:C12" xr:uid="{2322EB34-1B09-497E-B448-5E9A729272CC}"/>
  <tableColumns count="2">
    <tableColumn id="1" xr3:uid="{4A19357B-0EEE-4468-9481-8BA213970C10}" name="ردیف" dataDxfId="1">
      <calculatedColumnFormula>IF(Table28[[#This Row],[اطلاعات تکمیلی]]="","",ROW()-2)</calculatedColumnFormula>
    </tableColumn>
    <tableColumn id="2" xr3:uid="{3AFDBDFB-4344-4BF2-BD74-FF8FE0B5205F}" name="اطلاعات تکمیلی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282A5-FBAF-4E00-8989-0626A9526FC2}">
  <dimension ref="B2:R14"/>
  <sheetViews>
    <sheetView showGridLines="0" rightToLeft="1" workbookViewId="0">
      <selection activeCell="B2" sqref="B2:R14"/>
    </sheetView>
  </sheetViews>
  <sheetFormatPr defaultRowHeight="30" customHeight="1" x14ac:dyDescent="0.25"/>
  <cols>
    <col min="1" max="1" width="5.7109375" style="1" customWidth="1"/>
    <col min="2" max="2" width="1.7109375" style="1" customWidth="1"/>
    <col min="3" max="3" width="28.140625" style="1" customWidth="1"/>
    <col min="4" max="4" width="9.140625" style="1"/>
    <col min="5" max="5" width="16.7109375" style="1" customWidth="1"/>
    <col min="6" max="6" width="1.7109375" style="1" customWidth="1"/>
    <col min="7" max="7" width="9.140625" style="1"/>
    <col min="8" max="8" width="12.7109375" style="1" customWidth="1"/>
    <col min="9" max="17" width="13.7109375" style="1" customWidth="1"/>
    <col min="18" max="18" width="1.7109375" style="1" customWidth="1"/>
    <col min="19" max="16384" width="9.140625" style="1"/>
  </cols>
  <sheetData>
    <row r="2" spans="2:18" ht="9.9499999999999993" customHeight="1" x14ac:dyDescent="0.25"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3"/>
    </row>
    <row r="3" spans="2:18" ht="39.950000000000003" customHeight="1" x14ac:dyDescent="0.25">
      <c r="B3" s="14"/>
      <c r="C3" s="108" t="s">
        <v>47</v>
      </c>
      <c r="D3" s="108"/>
      <c r="E3" s="108"/>
      <c r="G3" s="109" t="s">
        <v>139</v>
      </c>
      <c r="H3" s="110"/>
      <c r="I3" s="110"/>
      <c r="J3" s="110"/>
      <c r="K3" s="110"/>
      <c r="L3" s="110"/>
      <c r="M3" s="110"/>
      <c r="N3" s="110"/>
      <c r="O3" s="110"/>
      <c r="P3" s="110"/>
      <c r="Q3" s="111"/>
      <c r="R3" s="15"/>
    </row>
    <row r="4" spans="2:18" ht="35.1" customHeight="1" x14ac:dyDescent="0.25">
      <c r="B4" s="14"/>
      <c r="G4" s="7"/>
      <c r="H4" s="8"/>
      <c r="I4" s="109" t="s">
        <v>138</v>
      </c>
      <c r="J4" s="110"/>
      <c r="K4" s="110"/>
      <c r="L4" s="110"/>
      <c r="M4" s="110"/>
      <c r="N4" s="110"/>
      <c r="O4" s="110"/>
      <c r="P4" s="110"/>
      <c r="Q4" s="111"/>
      <c r="R4" s="15"/>
    </row>
    <row r="5" spans="2:18" ht="35.1" customHeight="1" x14ac:dyDescent="0.25">
      <c r="B5" s="14"/>
      <c r="C5" s="105" t="s">
        <v>45</v>
      </c>
      <c r="D5" s="106"/>
      <c r="E5" s="107"/>
      <c r="G5" s="3" t="str">
        <f>D13</f>
        <v>ریال</v>
      </c>
      <c r="H5" s="24">
        <f>E13</f>
        <v>11148337.696753323</v>
      </c>
      <c r="I5" s="2">
        <v>690000</v>
      </c>
      <c r="J5" s="2">
        <v>710000</v>
      </c>
      <c r="K5" s="2">
        <v>730000</v>
      </c>
      <c r="L5" s="2">
        <v>750000</v>
      </c>
      <c r="M5" s="2">
        <v>770000</v>
      </c>
      <c r="N5" s="2">
        <v>790000</v>
      </c>
      <c r="O5" s="2">
        <v>810000</v>
      </c>
      <c r="P5" s="2">
        <v>830000</v>
      </c>
      <c r="Q5" s="2">
        <v>850000</v>
      </c>
      <c r="R5" s="15"/>
    </row>
    <row r="6" spans="2:18" ht="35.1" customHeight="1" x14ac:dyDescent="0.25">
      <c r="B6" s="14"/>
      <c r="C6" s="6" t="s">
        <v>1</v>
      </c>
      <c r="D6" s="6" t="s">
        <v>2</v>
      </c>
      <c r="E6" s="10" t="s">
        <v>106</v>
      </c>
      <c r="G6" s="112" t="s">
        <v>91</v>
      </c>
      <c r="H6" s="2">
        <v>1350000</v>
      </c>
      <c r="I6" s="9">
        <f t="dataTable" ref="I6:Q13" dt2D="1" dtr="1" r1="E10" r2="E7"/>
        <v>7307595.5894728741</v>
      </c>
      <c r="J6" s="9">
        <v>7959998.6618604576</v>
      </c>
      <c r="K6" s="9">
        <v>8612401.7342480384</v>
      </c>
      <c r="L6" s="9">
        <v>9264804.8066356182</v>
      </c>
      <c r="M6" s="9">
        <v>9917207.8790232018</v>
      </c>
      <c r="N6" s="9">
        <v>10569610.951410782</v>
      </c>
      <c r="O6" s="9">
        <v>11222014.023798361</v>
      </c>
      <c r="P6" s="9">
        <v>11874417.096185949</v>
      </c>
      <c r="Q6" s="9">
        <v>12526820.168573529</v>
      </c>
      <c r="R6" s="15"/>
    </row>
    <row r="7" spans="2:18" ht="35.1" customHeight="1" x14ac:dyDescent="0.25">
      <c r="B7" s="14"/>
      <c r="C7" s="4" t="s">
        <v>91</v>
      </c>
      <c r="D7" s="4" t="s">
        <v>3</v>
      </c>
      <c r="E7" s="5">
        <v>1600000</v>
      </c>
      <c r="G7" s="113"/>
      <c r="H7" s="2">
        <v>1400000</v>
      </c>
      <c r="I7" s="9">
        <v>7611812.9372311234</v>
      </c>
      <c r="J7" s="9">
        <v>8288379.0863738023</v>
      </c>
      <c r="K7" s="9">
        <v>8964945.2355164774</v>
      </c>
      <c r="L7" s="9">
        <v>9641511.3846591562</v>
      </c>
      <c r="M7" s="9">
        <v>10318077.533801835</v>
      </c>
      <c r="N7" s="9">
        <v>10994643.682944506</v>
      </c>
      <c r="O7" s="9">
        <v>11671209.832087185</v>
      </c>
      <c r="P7" s="9">
        <v>12347775.981229868</v>
      </c>
      <c r="Q7" s="9">
        <v>13024342.130372543</v>
      </c>
      <c r="R7" s="15"/>
    </row>
    <row r="8" spans="2:18" ht="35.1" customHeight="1" x14ac:dyDescent="0.25">
      <c r="B8" s="14"/>
      <c r="C8" s="4" t="s">
        <v>123</v>
      </c>
      <c r="D8" s="4"/>
      <c r="E8" s="89">
        <v>0</v>
      </c>
      <c r="G8" s="113"/>
      <c r="H8" s="2">
        <v>1450000</v>
      </c>
      <c r="I8" s="9">
        <v>7916030.2849893831</v>
      </c>
      <c r="J8" s="9">
        <v>8616759.5108871534</v>
      </c>
      <c r="K8" s="9">
        <v>9317488.7367849275</v>
      </c>
      <c r="L8" s="9">
        <v>10018217.962682698</v>
      </c>
      <c r="M8" s="9">
        <v>10718947.188580476</v>
      </c>
      <c r="N8" s="9">
        <v>11419676.414478246</v>
      </c>
      <c r="O8" s="9">
        <v>12120405.64037602</v>
      </c>
      <c r="P8" s="9">
        <v>12821134.866273791</v>
      </c>
      <c r="Q8" s="9">
        <v>13521864.092171565</v>
      </c>
      <c r="R8" s="15"/>
    </row>
    <row r="9" spans="2:18" ht="35.1" customHeight="1" x14ac:dyDescent="0.25">
      <c r="B9" s="14"/>
      <c r="C9" s="4" t="s">
        <v>117</v>
      </c>
      <c r="D9" s="4" t="s">
        <v>16</v>
      </c>
      <c r="E9" s="5">
        <v>25</v>
      </c>
      <c r="G9" s="113"/>
      <c r="H9" s="2">
        <v>1500000</v>
      </c>
      <c r="I9" s="9">
        <v>8220247.6327476362</v>
      </c>
      <c r="J9" s="9">
        <v>8945139.9354005009</v>
      </c>
      <c r="K9" s="9">
        <v>9670032.2380533665</v>
      </c>
      <c r="L9" s="9">
        <v>10394924.540706236</v>
      </c>
      <c r="M9" s="9">
        <v>11119816.843359105</v>
      </c>
      <c r="N9" s="9">
        <v>11844709.146011978</v>
      </c>
      <c r="O9" s="9">
        <v>12569601.448664844</v>
      </c>
      <c r="P9" s="9">
        <v>13294493.75131771</v>
      </c>
      <c r="Q9" s="9">
        <v>14019386.053970587</v>
      </c>
      <c r="R9" s="15"/>
    </row>
    <row r="10" spans="2:18" ht="35.1" customHeight="1" x14ac:dyDescent="0.25">
      <c r="B10" s="14"/>
      <c r="C10" s="4" t="s">
        <v>17</v>
      </c>
      <c r="D10" s="4" t="s">
        <v>8</v>
      </c>
      <c r="E10" s="5">
        <v>750000</v>
      </c>
      <c r="G10" s="113"/>
      <c r="H10" s="2">
        <v>1550000</v>
      </c>
      <c r="I10" s="9">
        <v>8524464.9805058856</v>
      </c>
      <c r="J10" s="9">
        <v>9273520.3599138502</v>
      </c>
      <c r="K10" s="9">
        <v>10022575.739321815</v>
      </c>
      <c r="L10" s="9">
        <v>10771631.118729779</v>
      </c>
      <c r="M10" s="9">
        <v>11520686.498137744</v>
      </c>
      <c r="N10" s="9">
        <v>12269741.877545713</v>
      </c>
      <c r="O10" s="9">
        <v>13018797.25695367</v>
      </c>
      <c r="P10" s="9">
        <v>13767852.636361634</v>
      </c>
      <c r="Q10" s="9">
        <v>14516908.015769595</v>
      </c>
      <c r="R10" s="15"/>
    </row>
    <row r="11" spans="2:18" ht="35.1" customHeight="1" x14ac:dyDescent="0.25">
      <c r="B11" s="14"/>
      <c r="C11" s="4" t="s">
        <v>122</v>
      </c>
      <c r="D11" s="4"/>
      <c r="E11" s="89">
        <v>0.3</v>
      </c>
      <c r="G11" s="113"/>
      <c r="H11" s="2">
        <v>1600000</v>
      </c>
      <c r="I11" s="9">
        <v>8828682.3282641433</v>
      </c>
      <c r="J11" s="9">
        <v>9601900.784427207</v>
      </c>
      <c r="K11" s="9">
        <v>10375119.240590263</v>
      </c>
      <c r="L11" s="9">
        <v>11148337.696753323</v>
      </c>
      <c r="M11" s="9">
        <v>11921556.152916383</v>
      </c>
      <c r="N11" s="9">
        <v>12694774.609079439</v>
      </c>
      <c r="O11" s="9">
        <v>13467993.065242503</v>
      </c>
      <c r="P11" s="9">
        <v>14241211.521405565</v>
      </c>
      <c r="Q11" s="9">
        <v>15014429.977568621</v>
      </c>
      <c r="R11" s="15"/>
    </row>
    <row r="12" spans="2:18" ht="35.1" customHeight="1" x14ac:dyDescent="0.25">
      <c r="B12" s="14"/>
      <c r="C12" s="105" t="s">
        <v>46</v>
      </c>
      <c r="D12" s="106"/>
      <c r="E12" s="107"/>
      <c r="G12" s="113"/>
      <c r="H12" s="2">
        <v>1650000</v>
      </c>
      <c r="I12" s="9">
        <v>9132899.6760223992</v>
      </c>
      <c r="J12" s="9">
        <v>9930281.2089405544</v>
      </c>
      <c r="K12" s="9">
        <v>10727662.74185871</v>
      </c>
      <c r="L12" s="9">
        <v>11525044.274776865</v>
      </c>
      <c r="M12" s="9">
        <v>12322425.807695024</v>
      </c>
      <c r="N12" s="9">
        <v>13119807.340613175</v>
      </c>
      <c r="O12" s="9">
        <v>13917188.87353133</v>
      </c>
      <c r="P12" s="9">
        <v>14714570.406449493</v>
      </c>
      <c r="Q12" s="9">
        <v>15511951.939367641</v>
      </c>
      <c r="R12" s="15"/>
    </row>
    <row r="13" spans="2:18" ht="35.1" customHeight="1" x14ac:dyDescent="0.25">
      <c r="B13" s="14"/>
      <c r="C13" s="4" t="s">
        <v>48</v>
      </c>
      <c r="D13" s="4" t="s">
        <v>8</v>
      </c>
      <c r="E13" s="5">
        <f>'سود و زیان'!$F$21</f>
        <v>11148337.696753323</v>
      </c>
      <c r="G13" s="114"/>
      <c r="H13" s="2">
        <v>1700000</v>
      </c>
      <c r="I13" s="9">
        <v>9437117.0237806551</v>
      </c>
      <c r="J13" s="9">
        <v>10258661.633453906</v>
      </c>
      <c r="K13" s="9">
        <v>11080206.243127163</v>
      </c>
      <c r="L13" s="9">
        <v>11901750.85280041</v>
      </c>
      <c r="M13" s="9">
        <v>12723295.462473661</v>
      </c>
      <c r="N13" s="9">
        <v>13544840.072146911</v>
      </c>
      <c r="O13" s="9">
        <v>14366384.681820165</v>
      </c>
      <c r="P13" s="9">
        <v>15187929.291493412</v>
      </c>
      <c r="Q13" s="9">
        <v>16009473.901166666</v>
      </c>
      <c r="R13" s="15"/>
    </row>
    <row r="14" spans="2:18" ht="9.9499999999999993" customHeight="1" x14ac:dyDescent="0.25"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8"/>
    </row>
  </sheetData>
  <mergeCells count="6">
    <mergeCell ref="C5:E5"/>
    <mergeCell ref="C3:E3"/>
    <mergeCell ref="I4:Q4"/>
    <mergeCell ref="G3:Q3"/>
    <mergeCell ref="G6:G13"/>
    <mergeCell ref="C12:E12"/>
  </mergeCells>
  <conditionalFormatting sqref="I6:Q13">
    <cfRule type="colorScale" priority="1">
      <colorScale>
        <cfvo type="num" val="10000000"/>
        <cfvo type="num" val="12000000"/>
        <cfvo type="num" val="14000000"/>
        <color rgb="FFFF5757"/>
        <color rgb="FFFFEB84"/>
        <color rgb="FF00C85A"/>
      </colorScale>
    </cfRule>
    <cfRule type="colorScale" priority="2">
      <colorScale>
        <cfvo type="min"/>
        <cfvo type="percentile" val="50"/>
        <cfvo type="max"/>
        <color rgb="FFFFC7CE"/>
        <color rgb="FFF2F2F2"/>
        <color rgb="FFC6EFCE"/>
      </colorScale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7F7AB-4AF9-4D4A-B530-9F2966AC9052}">
  <dimension ref="B2:R145"/>
  <sheetViews>
    <sheetView showGridLines="0" rightToLeft="1" topLeftCell="A52" zoomScaleNormal="100" workbookViewId="0">
      <selection activeCell="H91" sqref="H91"/>
    </sheetView>
  </sheetViews>
  <sheetFormatPr defaultRowHeight="30" customHeight="1" x14ac:dyDescent="0.25"/>
  <cols>
    <col min="1" max="2" width="5.7109375" style="1" customWidth="1"/>
    <col min="3" max="3" width="35.7109375" style="1" customWidth="1"/>
    <col min="4" max="4" width="11" style="1" customWidth="1"/>
    <col min="5" max="8" width="15.7109375" style="1" customWidth="1"/>
    <col min="9" max="9" width="5.7109375" style="1" customWidth="1"/>
    <col min="10" max="10" width="9.140625" style="1"/>
    <col min="11" max="11" width="11" style="1" bestFit="1" customWidth="1"/>
    <col min="12" max="12" width="33.5703125" style="1" bestFit="1" customWidth="1"/>
    <col min="13" max="13" width="10" style="1" bestFit="1" customWidth="1"/>
    <col min="14" max="14" width="11" style="1" bestFit="1" customWidth="1"/>
    <col min="15" max="15" width="12.5703125" style="1" bestFit="1" customWidth="1"/>
    <col min="16" max="16" width="10.140625" style="1" bestFit="1" customWidth="1"/>
    <col min="17" max="18" width="12.5703125" style="1" bestFit="1" customWidth="1"/>
    <col min="19" max="19" width="10.140625" style="1" bestFit="1" customWidth="1"/>
    <col min="20" max="16384" width="9.140625" style="1"/>
  </cols>
  <sheetData>
    <row r="2" spans="2:18" ht="30" customHeight="1" x14ac:dyDescent="0.25">
      <c r="B2" s="118" t="s">
        <v>0</v>
      </c>
      <c r="C2" s="119"/>
      <c r="D2" s="119"/>
      <c r="E2" s="42"/>
      <c r="F2" s="42"/>
      <c r="G2" s="42"/>
      <c r="H2" s="42"/>
      <c r="I2" s="43"/>
    </row>
    <row r="3" spans="2:18" ht="9.9499999999999993" customHeight="1" x14ac:dyDescent="0.25">
      <c r="B3" s="33"/>
      <c r="I3" s="34"/>
    </row>
    <row r="4" spans="2:18" ht="30" customHeight="1" x14ac:dyDescent="0.25">
      <c r="B4" s="33"/>
      <c r="C4" s="116" t="s">
        <v>9</v>
      </c>
      <c r="D4" s="117"/>
      <c r="E4" s="58"/>
      <c r="F4" s="58"/>
      <c r="G4" s="58"/>
      <c r="H4" s="59"/>
      <c r="I4" s="34"/>
    </row>
    <row r="5" spans="2:18" ht="30" customHeight="1" x14ac:dyDescent="0.25">
      <c r="B5" s="33"/>
      <c r="C5" s="25" t="s">
        <v>1</v>
      </c>
      <c r="D5" s="25" t="s">
        <v>2</v>
      </c>
      <c r="E5" s="26">
        <v>1402</v>
      </c>
      <c r="F5" s="26">
        <v>1403</v>
      </c>
      <c r="G5" s="26" t="s">
        <v>65</v>
      </c>
      <c r="H5" s="26">
        <v>1404</v>
      </c>
      <c r="I5" s="34"/>
    </row>
    <row r="6" spans="2:18" ht="30" customHeight="1" x14ac:dyDescent="0.25">
      <c r="B6" s="33"/>
      <c r="C6" s="44" t="s">
        <v>108</v>
      </c>
      <c r="D6" s="45" t="s">
        <v>3</v>
      </c>
      <c r="E6" s="45">
        <v>155676</v>
      </c>
      <c r="F6" s="45">
        <v>194012</v>
      </c>
      <c r="G6" s="45">
        <v>60406</v>
      </c>
      <c r="H6" s="46">
        <f>$H$11*H19</f>
        <v>175953.69400861143</v>
      </c>
      <c r="I6" s="34"/>
    </row>
    <row r="7" spans="2:18" ht="30" customHeight="1" x14ac:dyDescent="0.25">
      <c r="B7" s="33"/>
      <c r="C7" s="47" t="s">
        <v>109</v>
      </c>
      <c r="D7" s="45" t="s">
        <v>3</v>
      </c>
      <c r="E7" s="48">
        <v>201690</v>
      </c>
      <c r="F7" s="48">
        <v>220688</v>
      </c>
      <c r="G7" s="48">
        <v>87401</v>
      </c>
      <c r="H7" s="46">
        <f>$H$11*H20</f>
        <v>254586.11412850785</v>
      </c>
      <c r="I7" s="34"/>
    </row>
    <row r="8" spans="2:18" ht="30" customHeight="1" x14ac:dyDescent="0.25">
      <c r="B8" s="33"/>
      <c r="C8" s="47" t="s">
        <v>110</v>
      </c>
      <c r="D8" s="45" t="s">
        <v>3</v>
      </c>
      <c r="E8" s="48">
        <v>47089</v>
      </c>
      <c r="F8" s="48">
        <v>19233</v>
      </c>
      <c r="G8" s="48">
        <v>0</v>
      </c>
      <c r="H8" s="46">
        <f>$H$11*H21</f>
        <v>0</v>
      </c>
      <c r="I8" s="34"/>
    </row>
    <row r="9" spans="2:18" ht="30" customHeight="1" x14ac:dyDescent="0.25">
      <c r="B9" s="33"/>
      <c r="C9" s="47" t="s">
        <v>112</v>
      </c>
      <c r="D9" s="45" t="s">
        <v>3</v>
      </c>
      <c r="E9" s="48">
        <v>6674</v>
      </c>
      <c r="F9" s="48">
        <v>0</v>
      </c>
      <c r="G9" s="48">
        <v>0</v>
      </c>
      <c r="H9" s="45"/>
      <c r="I9" s="34"/>
    </row>
    <row r="10" spans="2:18" ht="30" customHeight="1" x14ac:dyDescent="0.25">
      <c r="B10" s="33"/>
      <c r="C10" s="47" t="s">
        <v>111</v>
      </c>
      <c r="D10" s="45" t="s">
        <v>3</v>
      </c>
      <c r="E10" s="48">
        <f>E13-(E11/0.95)</f>
        <v>1233368.6315789474</v>
      </c>
      <c r="F10" s="48">
        <f>F13-(F11/0.95)</f>
        <v>1155838.4210526315</v>
      </c>
      <c r="G10" s="48">
        <f>G13-(G11/0.95)</f>
        <v>203144.68421052632</v>
      </c>
      <c r="H10" s="45">
        <f>H13*H23</f>
        <v>1146800.2019609269</v>
      </c>
      <c r="I10" s="34"/>
    </row>
    <row r="11" spans="2:18" ht="30" customHeight="1" x14ac:dyDescent="0.25">
      <c r="B11" s="33"/>
      <c r="C11" s="19" t="s">
        <v>98</v>
      </c>
      <c r="D11" s="19" t="s">
        <v>3</v>
      </c>
      <c r="E11" s="20">
        <f>E6+E7+E8+E9</f>
        <v>411129</v>
      </c>
      <c r="F11" s="20">
        <f>F6+F7+F8+F9</f>
        <v>433933</v>
      </c>
      <c r="G11" s="20">
        <f>G6+G7+G8+G9</f>
        <v>147807</v>
      </c>
      <c r="H11" s="20">
        <f>(H13*H24)/0.95</f>
        <v>430539.80813711928</v>
      </c>
      <c r="I11" s="34"/>
      <c r="J11" s="1" t="s">
        <v>103</v>
      </c>
      <c r="K11" s="84" t="s">
        <v>104</v>
      </c>
    </row>
    <row r="12" spans="2:18" ht="30" customHeight="1" x14ac:dyDescent="0.25">
      <c r="B12" s="33"/>
      <c r="C12" s="19" t="s">
        <v>114</v>
      </c>
      <c r="D12" s="19" t="s">
        <v>3</v>
      </c>
      <c r="E12" s="20">
        <f>E11+E13</f>
        <v>2077265</v>
      </c>
      <c r="F12" s="20">
        <f t="shared" ref="F12:G12" si="0">F11+F13</f>
        <v>2046543</v>
      </c>
      <c r="G12" s="20">
        <f t="shared" si="0"/>
        <v>506538</v>
      </c>
      <c r="H12" s="20">
        <f>H11+H10</f>
        <v>1577340.0100980462</v>
      </c>
      <c r="I12" s="34"/>
      <c r="K12" s="84"/>
      <c r="L12" s="1" t="s">
        <v>132</v>
      </c>
      <c r="P12" s="84"/>
    </row>
    <row r="13" spans="2:18" ht="30" customHeight="1" x14ac:dyDescent="0.25">
      <c r="B13" s="33"/>
      <c r="C13" s="19" t="s">
        <v>101</v>
      </c>
      <c r="D13" s="19" t="s">
        <v>3</v>
      </c>
      <c r="E13" s="20">
        <v>1666136</v>
      </c>
      <c r="F13" s="20">
        <v>1612610</v>
      </c>
      <c r="G13" s="20">
        <v>358731</v>
      </c>
      <c r="H13" s="20">
        <f>مفروضات!E7*(1+مفروضات!E8)</f>
        <v>1600000</v>
      </c>
      <c r="I13" s="34"/>
      <c r="J13" s="92"/>
      <c r="L13" s="84"/>
      <c r="M13" s="84"/>
      <c r="N13" s="99"/>
      <c r="O13" s="99"/>
      <c r="P13" s="84"/>
      <c r="Q13" s="92"/>
      <c r="R13" s="92"/>
    </row>
    <row r="14" spans="2:18" ht="30" customHeight="1" x14ac:dyDescent="0.25">
      <c r="B14" s="35"/>
      <c r="C14" s="36"/>
      <c r="D14" s="36"/>
      <c r="E14" s="36"/>
      <c r="F14" s="36"/>
      <c r="G14" s="36"/>
      <c r="H14" s="36"/>
      <c r="I14" s="37"/>
      <c r="P14" s="84"/>
    </row>
    <row r="16" spans="2:18" ht="30" customHeight="1" x14ac:dyDescent="0.25">
      <c r="B16" s="118" t="s">
        <v>5</v>
      </c>
      <c r="C16" s="119"/>
      <c r="D16" s="119"/>
      <c r="E16" s="42"/>
      <c r="F16" s="42"/>
      <c r="G16" s="42"/>
      <c r="H16" s="42"/>
      <c r="I16" s="43"/>
    </row>
    <row r="17" spans="2:14" ht="9.9499999999999993" customHeight="1" x14ac:dyDescent="0.25">
      <c r="B17" s="33"/>
      <c r="I17" s="34"/>
    </row>
    <row r="18" spans="2:14" ht="30" customHeight="1" x14ac:dyDescent="0.25">
      <c r="B18" s="33"/>
      <c r="C18" s="25" t="s">
        <v>6</v>
      </c>
      <c r="D18" s="25" t="s">
        <v>2</v>
      </c>
      <c r="E18" s="26">
        <v>1402</v>
      </c>
      <c r="F18" s="26">
        <v>1403</v>
      </c>
      <c r="G18" s="26" t="s">
        <v>65</v>
      </c>
      <c r="H18" s="26">
        <v>1404</v>
      </c>
      <c r="I18" s="34"/>
      <c r="K18" s="84"/>
      <c r="L18" s="84"/>
      <c r="M18" s="84"/>
      <c r="N18" s="84"/>
    </row>
    <row r="19" spans="2:14" ht="30" customHeight="1" x14ac:dyDescent="0.25">
      <c r="B19" s="33"/>
      <c r="C19" s="47" t="s">
        <v>108</v>
      </c>
      <c r="D19" s="48"/>
      <c r="E19" s="53">
        <f>E6/$E$11</f>
        <v>0.37865487474734205</v>
      </c>
      <c r="F19" s="53">
        <f>F6/$F$11</f>
        <v>0.44710128061244475</v>
      </c>
      <c r="G19" s="53">
        <f>G6/$G$11</f>
        <v>0.40868159153490702</v>
      </c>
      <c r="H19" s="53">
        <v>0.40868159153490702</v>
      </c>
      <c r="I19" s="34"/>
      <c r="K19" s="84"/>
      <c r="L19" s="84"/>
      <c r="M19" s="84"/>
      <c r="N19" s="84"/>
    </row>
    <row r="20" spans="2:14" ht="30" customHeight="1" x14ac:dyDescent="0.25">
      <c r="B20" s="33"/>
      <c r="C20" s="44" t="s">
        <v>109</v>
      </c>
      <c r="D20" s="45"/>
      <c r="E20" s="53">
        <f>E7/$E$11</f>
        <v>0.49057595061404086</v>
      </c>
      <c r="F20" s="53">
        <f>F7/$F$11</f>
        <v>0.50857620876955656</v>
      </c>
      <c r="G20" s="53">
        <f>G7/$G$11</f>
        <v>0.59131840846509298</v>
      </c>
      <c r="H20" s="52">
        <v>0.59131840846509298</v>
      </c>
      <c r="I20" s="34"/>
    </row>
    <row r="21" spans="2:14" ht="30" customHeight="1" x14ac:dyDescent="0.25">
      <c r="B21" s="33"/>
      <c r="C21" s="44" t="s">
        <v>107</v>
      </c>
      <c r="D21" s="45"/>
      <c r="E21" s="53">
        <f>E8/$E$11</f>
        <v>0.11453582695455684</v>
      </c>
      <c r="F21" s="53">
        <f t="shared" ref="F21:G21" si="1">F8/$E$11</f>
        <v>4.6780937370022549E-2</v>
      </c>
      <c r="G21" s="53">
        <f t="shared" si="1"/>
        <v>0</v>
      </c>
      <c r="H21" s="53">
        <v>0</v>
      </c>
      <c r="I21" s="34"/>
    </row>
    <row r="22" spans="2:14" ht="30" customHeight="1" x14ac:dyDescent="0.25">
      <c r="B22" s="33"/>
      <c r="C22" s="44" t="s">
        <v>112</v>
      </c>
      <c r="D22" s="45"/>
      <c r="E22" s="53">
        <f>E9/$E$11</f>
        <v>1.6233347684060234E-2</v>
      </c>
      <c r="F22" s="53">
        <f t="shared" ref="F22:G22" si="2">F9/$E$11</f>
        <v>0</v>
      </c>
      <c r="G22" s="53">
        <f t="shared" si="2"/>
        <v>0</v>
      </c>
      <c r="H22" s="53">
        <v>0</v>
      </c>
      <c r="I22" s="34"/>
    </row>
    <row r="23" spans="2:14" ht="30" customHeight="1" x14ac:dyDescent="0.25">
      <c r="B23" s="33"/>
      <c r="C23" s="44" t="s">
        <v>131</v>
      </c>
      <c r="D23" s="45"/>
      <c r="E23" s="53">
        <f>E10/E13</f>
        <v>0.74025687673692153</v>
      </c>
      <c r="F23" s="53">
        <f>F10/F13</f>
        <v>0.71675012622557932</v>
      </c>
      <c r="G23" s="53">
        <f>G10/G13</f>
        <v>0.56628695097587423</v>
      </c>
      <c r="H23" s="53">
        <v>0.71675012622557932</v>
      </c>
      <c r="I23" s="34"/>
    </row>
    <row r="24" spans="2:14" ht="30" customHeight="1" x14ac:dyDescent="0.25">
      <c r="B24" s="33"/>
      <c r="C24" s="44" t="s">
        <v>113</v>
      </c>
      <c r="D24" s="45"/>
      <c r="E24" s="53">
        <f>(E11*0.95)/E13</f>
        <v>0.23441816874492838</v>
      </c>
      <c r="F24" s="53">
        <f t="shared" ref="F24:G24" si="3">(F11*0.95)/F13</f>
        <v>0.25563301108141456</v>
      </c>
      <c r="G24" s="53">
        <f t="shared" si="3"/>
        <v>0.39142602674427357</v>
      </c>
      <c r="H24" s="53">
        <v>0.25563301108141456</v>
      </c>
      <c r="I24" s="34"/>
    </row>
    <row r="26" spans="2:14" ht="30" customHeight="1" x14ac:dyDescent="0.25">
      <c r="B26" s="118" t="s">
        <v>51</v>
      </c>
      <c r="C26" s="119"/>
      <c r="D26" s="119"/>
      <c r="E26" s="42"/>
      <c r="F26" s="42"/>
      <c r="G26" s="42"/>
      <c r="H26" s="42"/>
      <c r="I26" s="43"/>
    </row>
    <row r="27" spans="2:14" ht="9.9499999999999993" customHeight="1" x14ac:dyDescent="0.25">
      <c r="B27" s="33"/>
      <c r="I27" s="34"/>
    </row>
    <row r="28" spans="2:14" ht="30" customHeight="1" x14ac:dyDescent="0.25">
      <c r="B28" s="33"/>
      <c r="C28" s="116" t="s">
        <v>13</v>
      </c>
      <c r="D28" s="117"/>
      <c r="E28" s="58"/>
      <c r="F28" s="58"/>
      <c r="G28" s="58"/>
      <c r="H28" s="59"/>
      <c r="I28" s="34"/>
    </row>
    <row r="29" spans="2:14" ht="30" customHeight="1" x14ac:dyDescent="0.25">
      <c r="B29" s="33"/>
      <c r="C29" s="25" t="s">
        <v>1</v>
      </c>
      <c r="D29" s="25" t="s">
        <v>2</v>
      </c>
      <c r="E29" s="26">
        <v>1402</v>
      </c>
      <c r="F29" s="26">
        <v>1403</v>
      </c>
      <c r="G29" s="26" t="s">
        <v>65</v>
      </c>
      <c r="H29" s="26">
        <v>1404</v>
      </c>
      <c r="I29" s="34"/>
    </row>
    <row r="30" spans="2:14" ht="30" customHeight="1" x14ac:dyDescent="0.25">
      <c r="B30" s="33"/>
      <c r="C30" s="44" t="s">
        <v>108</v>
      </c>
      <c r="D30" s="45" t="s">
        <v>3</v>
      </c>
      <c r="E30" s="45">
        <v>155676</v>
      </c>
      <c r="F30" s="45">
        <v>194012</v>
      </c>
      <c r="G30" s="45">
        <v>60406</v>
      </c>
      <c r="H30" s="46">
        <f>$H$39*H50</f>
        <v>167006.07252694364</v>
      </c>
      <c r="I30" s="34"/>
    </row>
    <row r="31" spans="2:14" ht="30" customHeight="1" x14ac:dyDescent="0.25">
      <c r="B31" s="33"/>
      <c r="C31" s="47" t="s">
        <v>109</v>
      </c>
      <c r="D31" s="48" t="s">
        <v>3</v>
      </c>
      <c r="E31" s="48">
        <v>194520</v>
      </c>
      <c r="F31" s="48">
        <v>224562</v>
      </c>
      <c r="G31" s="48">
        <v>95320</v>
      </c>
      <c r="H31" s="48">
        <f>$H$39*H51</f>
        <v>263533.73561017564</v>
      </c>
      <c r="I31" s="34"/>
    </row>
    <row r="32" spans="2:14" ht="30" customHeight="1" x14ac:dyDescent="0.25">
      <c r="B32" s="33"/>
      <c r="C32" s="47" t="s">
        <v>115</v>
      </c>
      <c r="D32" s="48" t="s">
        <v>3</v>
      </c>
      <c r="E32" s="48">
        <v>57534</v>
      </c>
      <c r="F32" s="48">
        <v>0</v>
      </c>
      <c r="G32" s="48">
        <v>0</v>
      </c>
      <c r="H32" s="48">
        <v>0</v>
      </c>
      <c r="I32" s="34"/>
    </row>
    <row r="33" spans="2:18" ht="30" customHeight="1" x14ac:dyDescent="0.25">
      <c r="B33" s="33"/>
      <c r="C33" s="44" t="s">
        <v>59</v>
      </c>
      <c r="D33" s="45" t="s">
        <v>3</v>
      </c>
      <c r="E33" s="45">
        <f>E30+E31+E32</f>
        <v>407730</v>
      </c>
      <c r="F33" s="45">
        <f t="shared" ref="F33:H33" si="4">F30+F31+F32</f>
        <v>418574</v>
      </c>
      <c r="G33" s="45">
        <f t="shared" si="4"/>
        <v>155726</v>
      </c>
      <c r="H33" s="45">
        <f t="shared" si="4"/>
        <v>430539.80813711928</v>
      </c>
      <c r="I33" s="34"/>
    </row>
    <row r="34" spans="2:18" ht="30" customHeight="1" x14ac:dyDescent="0.25">
      <c r="B34" s="33"/>
      <c r="C34" s="116" t="s">
        <v>14</v>
      </c>
      <c r="D34" s="117"/>
      <c r="E34" s="58"/>
      <c r="F34" s="58"/>
      <c r="G34" s="58"/>
      <c r="H34" s="59"/>
      <c r="I34" s="34"/>
    </row>
    <row r="35" spans="2:18" ht="30" customHeight="1" x14ac:dyDescent="0.25">
      <c r="B35" s="33"/>
      <c r="C35" s="47" t="s">
        <v>102</v>
      </c>
      <c r="D35" s="48" t="s">
        <v>3</v>
      </c>
      <c r="E35" s="48">
        <v>885570</v>
      </c>
      <c r="F35" s="48">
        <v>1140871</v>
      </c>
      <c r="G35" s="48">
        <v>321224</v>
      </c>
      <c r="H35" s="48">
        <f>H40*H54</f>
        <v>1146800.2019609269</v>
      </c>
      <c r="I35" s="34"/>
      <c r="J35" s="84"/>
      <c r="K35" s="84"/>
      <c r="L35" s="84"/>
      <c r="M35" s="84"/>
    </row>
    <row r="36" spans="2:18" ht="30" customHeight="1" x14ac:dyDescent="0.25">
      <c r="B36" s="33"/>
      <c r="C36" s="47" t="s">
        <v>107</v>
      </c>
      <c r="D36" s="48" t="s">
        <v>3</v>
      </c>
      <c r="E36" s="48">
        <v>47089</v>
      </c>
      <c r="F36" s="48">
        <v>19233</v>
      </c>
      <c r="G36" s="48">
        <v>0</v>
      </c>
      <c r="H36" s="48">
        <v>0</v>
      </c>
      <c r="I36" s="34"/>
      <c r="J36" s="84"/>
      <c r="K36" s="84"/>
      <c r="L36" s="84"/>
      <c r="M36" s="84"/>
    </row>
    <row r="37" spans="2:18" ht="30" customHeight="1" x14ac:dyDescent="0.25">
      <c r="B37" s="33"/>
      <c r="C37" s="47" t="s">
        <v>112</v>
      </c>
      <c r="D37" s="48" t="s">
        <v>3</v>
      </c>
      <c r="E37" s="48">
        <v>6674</v>
      </c>
      <c r="F37" s="48">
        <v>0</v>
      </c>
      <c r="G37" s="48">
        <v>0</v>
      </c>
      <c r="H37" s="48">
        <v>0</v>
      </c>
      <c r="I37" s="34"/>
      <c r="J37" s="84"/>
      <c r="K37" s="84"/>
      <c r="L37" s="84"/>
      <c r="M37" s="84"/>
    </row>
    <row r="38" spans="2:18" ht="30" customHeight="1" x14ac:dyDescent="0.25">
      <c r="B38" s="33"/>
      <c r="C38" s="44" t="s">
        <v>61</v>
      </c>
      <c r="D38" s="45" t="s">
        <v>3</v>
      </c>
      <c r="E38" s="45">
        <f>E35+E36+E37</f>
        <v>939333</v>
      </c>
      <c r="F38" s="45">
        <f t="shared" ref="F38:H38" si="5">F35+F36+F37</f>
        <v>1160104</v>
      </c>
      <c r="G38" s="45">
        <f t="shared" si="5"/>
        <v>321224</v>
      </c>
      <c r="H38" s="45">
        <f t="shared" si="5"/>
        <v>1146800.2019609269</v>
      </c>
      <c r="I38" s="34"/>
      <c r="K38" s="84"/>
    </row>
    <row r="39" spans="2:18" ht="30" customHeight="1" x14ac:dyDescent="0.25">
      <c r="B39" s="33"/>
      <c r="C39" s="19" t="s">
        <v>100</v>
      </c>
      <c r="D39" s="20"/>
      <c r="E39" s="20">
        <f>E30+E36+E37+E31</f>
        <v>403959</v>
      </c>
      <c r="F39" s="20">
        <f>F33+F36+F37</f>
        <v>437807</v>
      </c>
      <c r="G39" s="20">
        <f t="shared" ref="G39" si="6">G33+G36+G37</f>
        <v>155726</v>
      </c>
      <c r="H39" s="20">
        <f>H11*H42</f>
        <v>430539.80813711928</v>
      </c>
      <c r="I39" s="34"/>
      <c r="K39" s="84"/>
    </row>
    <row r="40" spans="2:18" ht="30" customHeight="1" x14ac:dyDescent="0.25">
      <c r="B40" s="33"/>
      <c r="C40" s="19" t="s">
        <v>116</v>
      </c>
      <c r="D40" s="20"/>
      <c r="E40" s="20">
        <f>E32+E35</f>
        <v>943104</v>
      </c>
      <c r="F40" s="20">
        <f>F32+F35</f>
        <v>1140871</v>
      </c>
      <c r="G40" s="20">
        <f>G32+G35</f>
        <v>321224</v>
      </c>
      <c r="H40" s="20">
        <f>H10*H43</f>
        <v>1146800.2019609269</v>
      </c>
      <c r="I40" s="34"/>
      <c r="K40" s="84"/>
    </row>
    <row r="41" spans="2:18" ht="30" customHeight="1" x14ac:dyDescent="0.25">
      <c r="B41" s="33"/>
      <c r="C41" s="19" t="s">
        <v>4</v>
      </c>
      <c r="D41" s="20"/>
      <c r="E41" s="20">
        <f>E40+E39</f>
        <v>1347063</v>
      </c>
      <c r="F41" s="20">
        <f t="shared" ref="F41:G41" si="7">F40+F39</f>
        <v>1578678</v>
      </c>
      <c r="G41" s="20">
        <f t="shared" si="7"/>
        <v>476950</v>
      </c>
      <c r="H41" s="20">
        <f>H39+H40</f>
        <v>1577340.0100980462</v>
      </c>
      <c r="I41" s="34"/>
      <c r="J41" s="84"/>
      <c r="K41" s="84"/>
      <c r="L41" s="84"/>
      <c r="M41" s="84"/>
      <c r="N41" s="84"/>
      <c r="O41" s="84"/>
      <c r="P41" s="84"/>
      <c r="Q41" s="84"/>
      <c r="R41" s="84"/>
    </row>
    <row r="42" spans="2:18" ht="30" customHeight="1" x14ac:dyDescent="0.25">
      <c r="B42" s="33"/>
      <c r="C42" s="19" t="s">
        <v>133</v>
      </c>
      <c r="D42" s="20"/>
      <c r="E42" s="98">
        <f>E39/E11</f>
        <v>0.982560218325635</v>
      </c>
      <c r="F42" s="98">
        <f t="shared" ref="F42:G42" si="8">F39/F11</f>
        <v>1.0089276455120952</v>
      </c>
      <c r="G42" s="98">
        <f t="shared" si="8"/>
        <v>1.0535766235699255</v>
      </c>
      <c r="H42" s="98">
        <v>1</v>
      </c>
      <c r="I42" s="34"/>
      <c r="J42" s="84"/>
      <c r="K42" s="84"/>
      <c r="L42" s="84"/>
      <c r="M42" s="84"/>
      <c r="N42" s="84"/>
      <c r="O42" s="84"/>
      <c r="P42" s="84"/>
      <c r="Q42" s="84"/>
      <c r="R42" s="84"/>
    </row>
    <row r="43" spans="2:18" ht="30" customHeight="1" x14ac:dyDescent="0.25">
      <c r="B43" s="33"/>
      <c r="C43" s="100" t="s">
        <v>134</v>
      </c>
      <c r="D43" s="101"/>
      <c r="E43" s="102">
        <f>E40/E10</f>
        <v>0.7646570342823189</v>
      </c>
      <c r="F43" s="102">
        <f t="shared" ref="F43" si="9">F40/F10</f>
        <v>0.98705059394114925</v>
      </c>
      <c r="G43" s="102">
        <f>G40/G10</f>
        <v>1.5812572268300347</v>
      </c>
      <c r="H43" s="102">
        <v>1</v>
      </c>
      <c r="I43" s="34"/>
      <c r="J43" s="84"/>
      <c r="K43" s="84"/>
      <c r="L43" s="84"/>
      <c r="M43" s="84"/>
      <c r="N43" s="84"/>
      <c r="O43" s="84"/>
      <c r="P43" s="84"/>
      <c r="Q43" s="84"/>
      <c r="R43" s="84"/>
    </row>
    <row r="44" spans="2:18" ht="30" customHeight="1" x14ac:dyDescent="0.25">
      <c r="B44" s="35"/>
      <c r="C44" s="36"/>
      <c r="D44" s="36"/>
      <c r="E44" s="36"/>
      <c r="F44" s="36"/>
      <c r="G44" s="36"/>
      <c r="H44" s="36"/>
      <c r="I44" s="37"/>
    </row>
    <row r="46" spans="2:18" ht="30" customHeight="1" x14ac:dyDescent="0.25">
      <c r="B46" s="118" t="s">
        <v>90</v>
      </c>
      <c r="C46" s="119"/>
      <c r="D46" s="119"/>
      <c r="E46" s="42"/>
      <c r="F46" s="42"/>
      <c r="G46" s="42"/>
      <c r="H46" s="42"/>
      <c r="I46" s="43"/>
    </row>
    <row r="47" spans="2:18" ht="9.9499999999999993" customHeight="1" x14ac:dyDescent="0.25">
      <c r="B47" s="33"/>
      <c r="I47" s="34"/>
    </row>
    <row r="48" spans="2:18" ht="30" customHeight="1" x14ac:dyDescent="0.25">
      <c r="B48" s="33"/>
      <c r="C48" s="25" t="s">
        <v>1</v>
      </c>
      <c r="D48" s="25" t="s">
        <v>2</v>
      </c>
      <c r="E48" s="26">
        <v>1402</v>
      </c>
      <c r="F48" s="26">
        <v>1403</v>
      </c>
      <c r="G48" s="26" t="s">
        <v>65</v>
      </c>
      <c r="H48" s="26">
        <v>1404</v>
      </c>
      <c r="I48" s="34"/>
    </row>
    <row r="49" spans="2:15" ht="30" customHeight="1" x14ac:dyDescent="0.25">
      <c r="B49" s="33"/>
      <c r="C49" s="122" t="s">
        <v>62</v>
      </c>
      <c r="D49" s="123"/>
      <c r="E49" s="123"/>
      <c r="F49" s="123"/>
      <c r="G49" s="123"/>
      <c r="H49" s="124"/>
      <c r="I49" s="34"/>
    </row>
    <row r="50" spans="2:15" ht="30" customHeight="1" x14ac:dyDescent="0.25">
      <c r="B50" s="33"/>
      <c r="C50" s="47" t="s">
        <v>108</v>
      </c>
      <c r="D50" s="48" t="s">
        <v>3</v>
      </c>
      <c r="E50" s="53">
        <f>E30/E39</f>
        <v>0.38537574357793736</v>
      </c>
      <c r="F50" s="53">
        <f>F30/F39</f>
        <v>0.44314503879563372</v>
      </c>
      <c r="G50" s="53">
        <f>G30/G39</f>
        <v>0.38789925895483091</v>
      </c>
      <c r="H50" s="53">
        <v>0.38789925895483091</v>
      </c>
      <c r="I50" s="34"/>
      <c r="L50" s="84"/>
      <c r="M50" s="84"/>
      <c r="N50" s="84"/>
      <c r="O50" s="84"/>
    </row>
    <row r="51" spans="2:15" ht="30" customHeight="1" x14ac:dyDescent="0.25">
      <c r="B51" s="33"/>
      <c r="C51" s="44" t="s">
        <v>109</v>
      </c>
      <c r="D51" s="45" t="s">
        <v>3</v>
      </c>
      <c r="E51" s="52">
        <f t="shared" ref="E51:G52" si="10">E31/E39</f>
        <v>0.48153401706608839</v>
      </c>
      <c r="F51" s="52">
        <f t="shared" si="10"/>
        <v>0.51292464487776579</v>
      </c>
      <c r="G51" s="52">
        <f t="shared" si="10"/>
        <v>0.61210074104516909</v>
      </c>
      <c r="H51" s="52">
        <v>0.61210074104516909</v>
      </c>
      <c r="I51" s="34"/>
    </row>
    <row r="52" spans="2:15" ht="30" customHeight="1" x14ac:dyDescent="0.25">
      <c r="B52" s="33"/>
      <c r="C52" s="44" t="s">
        <v>115</v>
      </c>
      <c r="D52" s="45" t="s">
        <v>3</v>
      </c>
      <c r="E52" s="52">
        <f t="shared" si="10"/>
        <v>6.1004936889250815E-2</v>
      </c>
      <c r="F52" s="52">
        <f t="shared" si="10"/>
        <v>0</v>
      </c>
      <c r="G52" s="52">
        <f t="shared" si="10"/>
        <v>0</v>
      </c>
      <c r="H52" s="52">
        <v>0</v>
      </c>
      <c r="I52" s="34"/>
    </row>
    <row r="53" spans="2:15" ht="30" customHeight="1" x14ac:dyDescent="0.25">
      <c r="B53" s="33"/>
      <c r="C53" s="125" t="s">
        <v>63</v>
      </c>
      <c r="D53" s="126"/>
      <c r="E53" s="126"/>
      <c r="F53" s="126"/>
      <c r="G53" s="126"/>
      <c r="H53" s="127"/>
      <c r="I53" s="34"/>
    </row>
    <row r="54" spans="2:15" ht="30" customHeight="1" x14ac:dyDescent="0.25">
      <c r="B54" s="33"/>
      <c r="C54" s="47" t="s">
        <v>102</v>
      </c>
      <c r="D54" s="48" t="s">
        <v>3</v>
      </c>
      <c r="E54" s="53">
        <f>E35/E40</f>
        <v>0.93899506311074921</v>
      </c>
      <c r="F54" s="53">
        <f>F35/F40</f>
        <v>1</v>
      </c>
      <c r="G54" s="53">
        <f>G35/G40</f>
        <v>1</v>
      </c>
      <c r="H54" s="53">
        <v>1</v>
      </c>
      <c r="I54" s="34"/>
    </row>
    <row r="55" spans="2:15" ht="30" customHeight="1" x14ac:dyDescent="0.25">
      <c r="B55" s="33"/>
      <c r="C55" s="47" t="s">
        <v>107</v>
      </c>
      <c r="D55" s="48" t="s">
        <v>3</v>
      </c>
      <c r="E55" s="53">
        <f>E36/E39</f>
        <v>0.11656876069106023</v>
      </c>
      <c r="F55" s="53">
        <f>F36/F39</f>
        <v>4.3930316326600535E-2</v>
      </c>
      <c r="G55" s="53">
        <f t="shared" ref="G55" si="11">G36/G39</f>
        <v>0</v>
      </c>
      <c r="H55" s="53">
        <v>0</v>
      </c>
      <c r="I55" s="34"/>
    </row>
    <row r="56" spans="2:15" ht="30" customHeight="1" x14ac:dyDescent="0.25">
      <c r="B56" s="33"/>
      <c r="C56" s="47" t="s">
        <v>112</v>
      </c>
      <c r="D56" s="48" t="s">
        <v>3</v>
      </c>
      <c r="E56" s="53">
        <f>E37/E39</f>
        <v>1.6521478664914012E-2</v>
      </c>
      <c r="F56" s="53">
        <f>F37/F39</f>
        <v>0</v>
      </c>
      <c r="G56" s="53">
        <f t="shared" ref="G56" si="12">G37/G39</f>
        <v>0</v>
      </c>
      <c r="H56" s="53">
        <v>0</v>
      </c>
      <c r="I56" s="34"/>
    </row>
    <row r="57" spans="2:15" ht="30" customHeight="1" x14ac:dyDescent="0.25">
      <c r="B57" s="33"/>
      <c r="C57" s="47"/>
      <c r="D57" s="48"/>
      <c r="E57" s="53"/>
      <c r="F57" s="53"/>
      <c r="G57" s="53"/>
      <c r="H57" s="54"/>
      <c r="I57" s="34"/>
    </row>
    <row r="58" spans="2:15" ht="30" customHeight="1" x14ac:dyDescent="0.25">
      <c r="B58" s="35"/>
      <c r="C58" s="36"/>
      <c r="D58" s="36"/>
      <c r="E58" s="36"/>
      <c r="F58" s="36"/>
      <c r="G58" s="36"/>
      <c r="H58" s="36"/>
      <c r="I58" s="37"/>
    </row>
    <row r="60" spans="2:15" ht="30" customHeight="1" x14ac:dyDescent="0.25">
      <c r="B60" s="118" t="s">
        <v>54</v>
      </c>
      <c r="C60" s="119"/>
      <c r="D60" s="119"/>
      <c r="E60" s="42"/>
      <c r="F60" s="42"/>
      <c r="G60" s="42"/>
      <c r="H60" s="42"/>
      <c r="I60" s="43"/>
    </row>
    <row r="61" spans="2:15" ht="30" customHeight="1" x14ac:dyDescent="0.25">
      <c r="B61" s="33"/>
      <c r="I61" s="34"/>
    </row>
    <row r="62" spans="2:15" ht="30" customHeight="1" x14ac:dyDescent="0.25">
      <c r="B62" s="33"/>
      <c r="C62" s="116" t="s">
        <v>11</v>
      </c>
      <c r="D62" s="117"/>
      <c r="E62" s="58"/>
      <c r="F62" s="58"/>
      <c r="G62" s="58"/>
      <c r="H62" s="59"/>
      <c r="I62" s="34"/>
    </row>
    <row r="63" spans="2:15" ht="30" customHeight="1" x14ac:dyDescent="0.25">
      <c r="B63" s="33"/>
      <c r="C63" s="25" t="s">
        <v>1</v>
      </c>
      <c r="D63" s="25" t="s">
        <v>2</v>
      </c>
      <c r="E63" s="26">
        <v>1402</v>
      </c>
      <c r="F63" s="26">
        <v>1403</v>
      </c>
      <c r="G63" s="26" t="s">
        <v>65</v>
      </c>
      <c r="H63" s="26">
        <v>1404</v>
      </c>
      <c r="I63" s="34"/>
    </row>
    <row r="64" spans="2:15" ht="30" customHeight="1" x14ac:dyDescent="0.25">
      <c r="B64" s="33"/>
      <c r="C64" s="44" t="s">
        <v>108</v>
      </c>
      <c r="D64" s="45" t="s">
        <v>3</v>
      </c>
      <c r="E64" s="45">
        <v>10468794</v>
      </c>
      <c r="F64" s="45">
        <v>11667345</v>
      </c>
      <c r="G64" s="45">
        <v>15444592</v>
      </c>
      <c r="H64" s="46">
        <f>$H$68*H90</f>
        <v>17977217.048470512</v>
      </c>
      <c r="I64" s="34"/>
      <c r="M64" s="84"/>
      <c r="N64" s="84"/>
      <c r="O64" s="84"/>
    </row>
    <row r="65" spans="2:16" ht="30" customHeight="1" x14ac:dyDescent="0.25">
      <c r="B65" s="33"/>
      <c r="C65" s="47" t="s">
        <v>109</v>
      </c>
      <c r="D65" s="48" t="s">
        <v>3</v>
      </c>
      <c r="E65" s="48">
        <v>9519669</v>
      </c>
      <c r="F65" s="48">
        <v>10980722</v>
      </c>
      <c r="G65" s="48">
        <v>15261362</v>
      </c>
      <c r="H65" s="46">
        <f>$H$68*H91</f>
        <v>17041020.933125999</v>
      </c>
      <c r="I65" s="34"/>
      <c r="M65" s="92"/>
      <c r="N65" s="92"/>
      <c r="O65" s="92"/>
      <c r="P65" s="92"/>
    </row>
    <row r="66" spans="2:16" ht="30" customHeight="1" x14ac:dyDescent="0.25">
      <c r="B66" s="33"/>
      <c r="C66" s="44" t="s">
        <v>115</v>
      </c>
      <c r="D66" s="45"/>
      <c r="E66" s="45">
        <v>10669535</v>
      </c>
      <c r="F66" s="45">
        <v>0</v>
      </c>
      <c r="G66" s="45">
        <v>0</v>
      </c>
      <c r="H66" s="46">
        <v>0</v>
      </c>
      <c r="I66" s="34"/>
      <c r="M66" s="92"/>
      <c r="N66" s="92"/>
      <c r="O66" s="92"/>
      <c r="P66" s="92"/>
    </row>
    <row r="67" spans="2:16" ht="30" customHeight="1" x14ac:dyDescent="0.25">
      <c r="B67" s="33"/>
      <c r="C67" s="116" t="s">
        <v>12</v>
      </c>
      <c r="D67" s="117"/>
      <c r="E67" s="58"/>
      <c r="F67" s="58"/>
      <c r="G67" s="58"/>
      <c r="H67" s="59"/>
      <c r="I67" s="34"/>
      <c r="N67" s="84"/>
    </row>
    <row r="68" spans="2:16" ht="30" customHeight="1" x14ac:dyDescent="0.25">
      <c r="B68" s="33"/>
      <c r="C68" s="75" t="s">
        <v>102</v>
      </c>
      <c r="D68" s="76" t="s">
        <v>3</v>
      </c>
      <c r="E68" s="76">
        <v>11439250</v>
      </c>
      <c r="F68" s="76">
        <v>12586938</v>
      </c>
      <c r="G68" s="76">
        <v>14933137</v>
      </c>
      <c r="H68" s="77">
        <f>H84*H85</f>
        <v>18750000</v>
      </c>
      <c r="I68" s="34"/>
      <c r="N68" s="84"/>
    </row>
    <row r="69" spans="2:16" ht="30" customHeight="1" x14ac:dyDescent="0.25">
      <c r="C69" s="75" t="s">
        <v>107</v>
      </c>
      <c r="D69" s="76" t="s">
        <v>3</v>
      </c>
      <c r="E69" s="76">
        <v>12817622</v>
      </c>
      <c r="F69" s="76">
        <v>14877242</v>
      </c>
      <c r="G69" s="76">
        <v>0</v>
      </c>
      <c r="H69" s="77">
        <v>0</v>
      </c>
      <c r="N69" s="84"/>
    </row>
    <row r="70" spans="2:16" ht="30" customHeight="1" x14ac:dyDescent="0.25">
      <c r="C70" s="75" t="s">
        <v>112</v>
      </c>
      <c r="D70" s="76" t="s">
        <v>3</v>
      </c>
      <c r="E70" s="76">
        <v>12349416</v>
      </c>
      <c r="F70" s="76">
        <v>0</v>
      </c>
      <c r="G70" s="76">
        <v>0</v>
      </c>
      <c r="H70" s="77">
        <v>0</v>
      </c>
      <c r="N70" s="84"/>
    </row>
    <row r="72" spans="2:16" ht="30" hidden="1" customHeight="1" x14ac:dyDescent="0.25">
      <c r="B72" s="120" t="s">
        <v>93</v>
      </c>
      <c r="C72" s="121"/>
      <c r="D72" s="121"/>
      <c r="E72" s="60"/>
      <c r="F72" s="60"/>
      <c r="G72" s="60"/>
      <c r="H72" s="60"/>
      <c r="I72" s="61"/>
    </row>
    <row r="73" spans="2:16" ht="30" hidden="1" customHeight="1" x14ac:dyDescent="0.25">
      <c r="B73" s="27"/>
      <c r="I73" s="28"/>
    </row>
    <row r="74" spans="2:16" ht="30" hidden="1" customHeight="1" x14ac:dyDescent="0.25">
      <c r="B74" s="27"/>
      <c r="C74" s="116" t="s">
        <v>92</v>
      </c>
      <c r="D74" s="117"/>
      <c r="E74" s="58"/>
      <c r="F74" s="58"/>
      <c r="G74" s="58"/>
      <c r="H74" s="59"/>
      <c r="I74" s="28"/>
    </row>
    <row r="75" spans="2:16" ht="30" hidden="1" customHeight="1" x14ac:dyDescent="0.25">
      <c r="B75" s="27"/>
      <c r="C75" s="25" t="s">
        <v>1</v>
      </c>
      <c r="D75" s="25" t="s">
        <v>2</v>
      </c>
      <c r="E75" s="26">
        <v>1402</v>
      </c>
      <c r="F75" s="26">
        <v>1403</v>
      </c>
      <c r="G75" s="26" t="s">
        <v>65</v>
      </c>
      <c r="H75" s="26">
        <v>1404</v>
      </c>
      <c r="I75" s="28"/>
    </row>
    <row r="76" spans="2:16" ht="30" hidden="1" customHeight="1" x14ac:dyDescent="0.25">
      <c r="B76" s="27"/>
      <c r="C76" s="47" t="s">
        <v>108</v>
      </c>
      <c r="D76" s="48"/>
      <c r="E76" s="53">
        <f>E64/E64</f>
        <v>1</v>
      </c>
      <c r="F76" s="53">
        <f>F64/F64</f>
        <v>1</v>
      </c>
      <c r="G76" s="53">
        <f>G64/G64</f>
        <v>1</v>
      </c>
      <c r="H76" s="53">
        <v>1</v>
      </c>
      <c r="I76" s="28"/>
    </row>
    <row r="77" spans="2:16" ht="30" hidden="1" customHeight="1" x14ac:dyDescent="0.25">
      <c r="B77" s="27"/>
      <c r="C77" s="47" t="s">
        <v>109</v>
      </c>
      <c r="D77" s="48"/>
      <c r="E77" s="53">
        <f>E65/E64</f>
        <v>0.90933769448515278</v>
      </c>
      <c r="F77" s="53">
        <f>F65/F64</f>
        <v>0.9411500217058808</v>
      </c>
      <c r="G77" s="53">
        <f>G65/G64</f>
        <v>0.9881363003956336</v>
      </c>
      <c r="H77" s="53">
        <v>0.93239003946276577</v>
      </c>
      <c r="I77" s="28"/>
    </row>
    <row r="78" spans="2:16" ht="30" hidden="1" customHeight="1" x14ac:dyDescent="0.25">
      <c r="B78" s="27"/>
      <c r="C78" s="116" t="s">
        <v>92</v>
      </c>
      <c r="D78" s="117"/>
      <c r="E78" s="58"/>
      <c r="F78" s="58"/>
      <c r="G78" s="58"/>
      <c r="H78" s="59"/>
      <c r="I78" s="28"/>
    </row>
    <row r="79" spans="2:16" ht="30" hidden="1" customHeight="1" x14ac:dyDescent="0.25">
      <c r="B79" s="27"/>
      <c r="C79" s="47" t="s">
        <v>60</v>
      </c>
      <c r="D79" s="48"/>
      <c r="E79" s="53">
        <f>E68/E64</f>
        <v>1.0926998850106326</v>
      </c>
      <c r="F79" s="53">
        <f>F68/F64</f>
        <v>1.0788176744580709</v>
      </c>
      <c r="G79" s="53">
        <f>G68/G64</f>
        <v>0.96688452501691202</v>
      </c>
      <c r="H79" s="53">
        <v>0.78274729738972226</v>
      </c>
      <c r="I79" s="28"/>
    </row>
    <row r="80" spans="2:16" ht="30" hidden="1" customHeight="1" x14ac:dyDescent="0.25">
      <c r="B80" s="27"/>
      <c r="C80" s="1" t="s">
        <v>107</v>
      </c>
      <c r="E80" s="78"/>
      <c r="F80" s="78"/>
      <c r="G80" s="78"/>
      <c r="H80" s="78"/>
      <c r="I80" s="28"/>
    </row>
    <row r="81" spans="2:10" ht="30" hidden="1" customHeight="1" x14ac:dyDescent="0.25">
      <c r="B81" s="29"/>
      <c r="C81" s="30"/>
      <c r="D81" s="30"/>
      <c r="E81" s="31"/>
      <c r="F81" s="31"/>
      <c r="G81" s="31"/>
      <c r="H81" s="31"/>
      <c r="I81" s="32"/>
    </row>
    <row r="82" spans="2:10" ht="30" customHeight="1" x14ac:dyDescent="0.25">
      <c r="B82" s="118" t="s">
        <v>141</v>
      </c>
      <c r="C82" s="119"/>
      <c r="D82" s="119"/>
      <c r="E82" s="42"/>
      <c r="F82" s="42"/>
      <c r="G82" s="42"/>
      <c r="H82" s="42"/>
      <c r="I82" s="43"/>
    </row>
    <row r="83" spans="2:10" ht="30" customHeight="1" x14ac:dyDescent="0.25">
      <c r="B83" s="33"/>
      <c r="C83" s="79" t="s">
        <v>1</v>
      </c>
      <c r="D83" s="80" t="s">
        <v>2</v>
      </c>
      <c r="E83" s="81">
        <v>1402</v>
      </c>
      <c r="F83" s="81">
        <v>1403</v>
      </c>
      <c r="G83" s="26" t="s">
        <v>65</v>
      </c>
      <c r="H83" s="82">
        <v>1404</v>
      </c>
      <c r="I83" s="34"/>
    </row>
    <row r="84" spans="2:10" ht="30" customHeight="1" x14ac:dyDescent="0.25">
      <c r="B84" s="33"/>
      <c r="C84" s="35" t="s">
        <v>117</v>
      </c>
      <c r="D84" s="36" t="s">
        <v>16</v>
      </c>
      <c r="E84" s="36">
        <f>E68/E85</f>
        <v>25.465828138913626</v>
      </c>
      <c r="F84" s="36">
        <f>F68/F85</f>
        <v>18.925364202663427</v>
      </c>
      <c r="G84" s="36">
        <f>G68/G85</f>
        <v>21.642227536231886</v>
      </c>
      <c r="H84" s="36">
        <f>مفروضات!E9</f>
        <v>25</v>
      </c>
      <c r="I84" s="34"/>
    </row>
    <row r="85" spans="2:10" ht="30" customHeight="1" x14ac:dyDescent="0.25">
      <c r="B85" s="33"/>
      <c r="C85" s="93" t="s">
        <v>64</v>
      </c>
      <c r="D85" s="94" t="s">
        <v>8</v>
      </c>
      <c r="E85" s="94">
        <v>449200</v>
      </c>
      <c r="F85" s="94">
        <v>665083</v>
      </c>
      <c r="G85" s="94">
        <v>690000</v>
      </c>
      <c r="H85" s="94">
        <f>مفروضات!E10</f>
        <v>750000</v>
      </c>
      <c r="I85" s="34"/>
    </row>
    <row r="86" spans="2:10" ht="30" customHeight="1" x14ac:dyDescent="0.25">
      <c r="B86" s="35"/>
      <c r="C86" s="36"/>
      <c r="D86" s="36"/>
      <c r="E86" s="36"/>
      <c r="F86" s="36"/>
      <c r="G86" s="36"/>
      <c r="H86" s="36"/>
      <c r="I86" s="37"/>
    </row>
    <row r="88" spans="2:10" ht="30" customHeight="1" x14ac:dyDescent="0.25">
      <c r="B88" s="118" t="s">
        <v>140</v>
      </c>
      <c r="C88" s="119"/>
      <c r="D88" s="119"/>
      <c r="E88" s="42"/>
      <c r="F88" s="42"/>
      <c r="G88" s="42"/>
      <c r="H88" s="42"/>
      <c r="I88" s="43"/>
    </row>
    <row r="89" spans="2:10" ht="30" customHeight="1" x14ac:dyDescent="0.25">
      <c r="B89" s="33"/>
      <c r="C89" s="79" t="s">
        <v>1</v>
      </c>
      <c r="D89" s="80" t="s">
        <v>2</v>
      </c>
      <c r="E89" s="81">
        <v>1402</v>
      </c>
      <c r="F89" s="81">
        <v>1403</v>
      </c>
      <c r="G89" s="26" t="s">
        <v>65</v>
      </c>
      <c r="H89" s="82">
        <v>1404</v>
      </c>
      <c r="I89" s="34"/>
    </row>
    <row r="90" spans="2:10" ht="30" customHeight="1" x14ac:dyDescent="0.25">
      <c r="B90" s="33"/>
      <c r="C90" s="35" t="s">
        <v>108</v>
      </c>
      <c r="D90" s="36"/>
      <c r="E90" s="104">
        <f>E64/E68</f>
        <v>0.91516436829337588</v>
      </c>
      <c r="F90" s="104">
        <f>F64/F68</f>
        <v>0.92694069042049787</v>
      </c>
      <c r="G90" s="104">
        <f>G64/G68</f>
        <v>1.0342496690414078</v>
      </c>
      <c r="H90" s="104">
        <f>AVERAGE(E90:G90)</f>
        <v>0.95878490925176063</v>
      </c>
      <c r="I90" s="34"/>
      <c r="J90" s="115">
        <v>1403</v>
      </c>
    </row>
    <row r="91" spans="2:10" ht="30" customHeight="1" x14ac:dyDescent="0.25">
      <c r="B91" s="33"/>
      <c r="C91" s="35" t="s">
        <v>109</v>
      </c>
      <c r="D91" s="36"/>
      <c r="E91" s="104">
        <f>E65/E68</f>
        <v>0.83219345673885958</v>
      </c>
      <c r="F91" s="104">
        <f t="shared" ref="F91:G91" si="13">F65/F68</f>
        <v>0.87239025090931566</v>
      </c>
      <c r="G91" s="104">
        <f t="shared" si="13"/>
        <v>1.0219796416519851</v>
      </c>
      <c r="H91" s="104">
        <f>AVERAGE(E91:G91)</f>
        <v>0.90885444976672003</v>
      </c>
      <c r="I91" s="34"/>
      <c r="J91" s="115"/>
    </row>
    <row r="92" spans="2:10" ht="30" customHeight="1" x14ac:dyDescent="0.25">
      <c r="B92" s="33"/>
      <c r="C92" s="35" t="s">
        <v>107</v>
      </c>
      <c r="D92" s="36"/>
      <c r="E92" s="104">
        <f>E69/E68</f>
        <v>1.1204949625193958</v>
      </c>
      <c r="F92" s="104">
        <f t="shared" ref="F92:G92" si="14">F69/F68</f>
        <v>1.1819587893417765</v>
      </c>
      <c r="G92" s="104">
        <f t="shared" si="14"/>
        <v>0</v>
      </c>
      <c r="H92" s="104">
        <v>0</v>
      </c>
      <c r="I92" s="34"/>
      <c r="J92" s="115"/>
    </row>
    <row r="93" spans="2:10" ht="30" customHeight="1" x14ac:dyDescent="0.25">
      <c r="B93" s="33"/>
      <c r="C93" s="35" t="s">
        <v>112</v>
      </c>
      <c r="D93" s="36"/>
      <c r="E93" s="104">
        <f>E70/E68</f>
        <v>1.0795651812837379</v>
      </c>
      <c r="F93" s="104">
        <f t="shared" ref="F93:G93" si="15">F70/F68</f>
        <v>0</v>
      </c>
      <c r="G93" s="104">
        <f t="shared" si="15"/>
        <v>0</v>
      </c>
      <c r="H93" s="104">
        <v>0</v>
      </c>
      <c r="I93" s="34"/>
      <c r="J93" s="115"/>
    </row>
    <row r="94" spans="2:10" ht="30" customHeight="1" x14ac:dyDescent="0.25">
      <c r="B94" s="35"/>
      <c r="C94" s="36"/>
      <c r="D94" s="36"/>
      <c r="E94" s="36"/>
      <c r="F94" s="36"/>
      <c r="G94" s="36"/>
      <c r="H94" s="36"/>
      <c r="I94" s="37"/>
      <c r="J94" s="115"/>
    </row>
    <row r="95" spans="2:10" ht="30" customHeight="1" x14ac:dyDescent="0.25">
      <c r="B95" s="118" t="s">
        <v>52</v>
      </c>
      <c r="C95" s="119"/>
      <c r="D95" s="119"/>
      <c r="E95" s="42"/>
      <c r="F95" s="42"/>
      <c r="G95" s="42"/>
      <c r="H95" s="42"/>
      <c r="I95" s="43"/>
    </row>
    <row r="96" spans="2:10" ht="9.9499999999999993" customHeight="1" x14ac:dyDescent="0.25">
      <c r="B96" s="33"/>
      <c r="I96" s="34"/>
    </row>
    <row r="97" spans="2:13" ht="30" customHeight="1" x14ac:dyDescent="0.25">
      <c r="B97" s="33"/>
      <c r="C97" s="116" t="s">
        <v>10</v>
      </c>
      <c r="D97" s="117"/>
      <c r="E97" s="58"/>
      <c r="F97" s="58"/>
      <c r="G97" s="58"/>
      <c r="H97" s="59"/>
      <c r="I97" s="34"/>
    </row>
    <row r="98" spans="2:13" ht="30" customHeight="1" x14ac:dyDescent="0.25">
      <c r="B98" s="33"/>
      <c r="C98" s="25" t="s">
        <v>1</v>
      </c>
      <c r="D98" s="25" t="s">
        <v>2</v>
      </c>
      <c r="E98" s="26">
        <v>1402</v>
      </c>
      <c r="F98" s="26">
        <v>1403</v>
      </c>
      <c r="G98" s="26" t="s">
        <v>65</v>
      </c>
      <c r="H98" s="26">
        <v>1404</v>
      </c>
      <c r="I98" s="34"/>
    </row>
    <row r="99" spans="2:13" ht="30" customHeight="1" x14ac:dyDescent="0.25">
      <c r="B99" s="33"/>
      <c r="C99" s="44" t="s">
        <v>108</v>
      </c>
      <c r="D99" s="45" t="s">
        <v>3</v>
      </c>
      <c r="E99" s="45">
        <v>1629740</v>
      </c>
      <c r="F99" s="45">
        <v>2263605</v>
      </c>
      <c r="G99" s="45">
        <v>932946</v>
      </c>
      <c r="H99" s="46">
        <f>H64*H30/1000000</f>
        <v>3002304.414229474</v>
      </c>
      <c r="I99" s="34"/>
      <c r="K99" s="84"/>
      <c r="L99" s="84"/>
      <c r="M99" s="84"/>
    </row>
    <row r="100" spans="2:13" ht="30" customHeight="1" x14ac:dyDescent="0.25">
      <c r="B100" s="33"/>
      <c r="C100" s="47" t="s">
        <v>109</v>
      </c>
      <c r="D100" s="48" t="s">
        <v>3</v>
      </c>
      <c r="E100" s="48">
        <v>1851766</v>
      </c>
      <c r="F100" s="48">
        <v>2465853</v>
      </c>
      <c r="G100" s="48">
        <v>1454713</v>
      </c>
      <c r="H100" s="46">
        <f>H65*H31/1000000</f>
        <v>4490883.9051178955</v>
      </c>
      <c r="I100" s="34"/>
    </row>
    <row r="101" spans="2:13" ht="30" customHeight="1" x14ac:dyDescent="0.25">
      <c r="B101" s="33"/>
      <c r="C101" s="47" t="s">
        <v>115</v>
      </c>
      <c r="D101" s="48" t="s">
        <v>3</v>
      </c>
      <c r="E101" s="48">
        <v>613861</v>
      </c>
      <c r="F101" s="48">
        <v>0</v>
      </c>
      <c r="G101" s="48">
        <v>0</v>
      </c>
      <c r="H101" s="45">
        <v>0</v>
      </c>
      <c r="I101" s="34"/>
    </row>
    <row r="102" spans="2:13" ht="30" customHeight="1" x14ac:dyDescent="0.25">
      <c r="B102" s="33"/>
      <c r="C102" s="19" t="s">
        <v>22</v>
      </c>
      <c r="D102" s="20" t="s">
        <v>3</v>
      </c>
      <c r="E102" s="20">
        <f>E99+E100+E101</f>
        <v>4095367</v>
      </c>
      <c r="F102" s="20">
        <f t="shared" ref="F102:H102" si="16">F99+F100+F101</f>
        <v>4729458</v>
      </c>
      <c r="G102" s="20">
        <f t="shared" si="16"/>
        <v>2387659</v>
      </c>
      <c r="H102" s="20">
        <f t="shared" si="16"/>
        <v>7493188.3193473695</v>
      </c>
      <c r="I102" s="34"/>
    </row>
    <row r="103" spans="2:13" ht="30" customHeight="1" x14ac:dyDescent="0.25">
      <c r="B103" s="33"/>
      <c r="C103" s="116" t="s">
        <v>15</v>
      </c>
      <c r="D103" s="117"/>
      <c r="E103" s="58"/>
      <c r="F103" s="58"/>
      <c r="G103" s="58"/>
      <c r="H103" s="59"/>
      <c r="I103" s="34"/>
    </row>
    <row r="104" spans="2:13" ht="30" customHeight="1" x14ac:dyDescent="0.25">
      <c r="B104" s="33"/>
      <c r="C104" s="47" t="s">
        <v>60</v>
      </c>
      <c r="D104" s="48" t="s">
        <v>3</v>
      </c>
      <c r="E104" s="48">
        <v>10130257</v>
      </c>
      <c r="F104" s="48">
        <v>14360072</v>
      </c>
      <c r="G104" s="48">
        <v>4796882</v>
      </c>
      <c r="H104" s="46">
        <f>H68*H35/1000000</f>
        <v>21502503.786767378</v>
      </c>
      <c r="I104" s="34"/>
    </row>
    <row r="105" spans="2:13" ht="30" customHeight="1" x14ac:dyDescent="0.25">
      <c r="B105" s="33"/>
      <c r="C105" s="47" t="s">
        <v>110</v>
      </c>
      <c r="D105" s="48" t="s">
        <v>3</v>
      </c>
      <c r="E105" s="48">
        <v>603569</v>
      </c>
      <c r="F105" s="48">
        <v>286134</v>
      </c>
      <c r="G105" s="48">
        <v>0</v>
      </c>
      <c r="H105" s="45">
        <v>0</v>
      </c>
      <c r="I105" s="34"/>
    </row>
    <row r="106" spans="2:13" ht="30" customHeight="1" x14ac:dyDescent="0.25">
      <c r="B106" s="33"/>
      <c r="C106" s="47" t="s">
        <v>112</v>
      </c>
      <c r="D106" s="48" t="s">
        <v>3</v>
      </c>
      <c r="E106" s="48">
        <v>82420</v>
      </c>
      <c r="F106" s="48">
        <v>0</v>
      </c>
      <c r="G106" s="48">
        <v>0</v>
      </c>
      <c r="H106" s="45">
        <v>0</v>
      </c>
      <c r="I106" s="34"/>
    </row>
    <row r="107" spans="2:13" ht="30" customHeight="1" x14ac:dyDescent="0.25">
      <c r="B107" s="33"/>
      <c r="C107" s="19" t="s">
        <v>22</v>
      </c>
      <c r="D107" s="20" t="s">
        <v>3</v>
      </c>
      <c r="E107" s="20">
        <f>E104+E105+E106</f>
        <v>10816246</v>
      </c>
      <c r="F107" s="20">
        <f>F104+F105+F106</f>
        <v>14646206</v>
      </c>
      <c r="G107" s="20">
        <f>G104+G105+G106</f>
        <v>4796882</v>
      </c>
      <c r="H107" s="20">
        <f>H104+H105+H106</f>
        <v>21502503.786767378</v>
      </c>
      <c r="I107" s="34"/>
    </row>
    <row r="108" spans="2:13" ht="30" customHeight="1" x14ac:dyDescent="0.25">
      <c r="B108" s="33"/>
      <c r="C108" s="19" t="s">
        <v>4</v>
      </c>
      <c r="D108" s="20" t="s">
        <v>3</v>
      </c>
      <c r="E108" s="20">
        <f>SUM(E102,E107)</f>
        <v>14911613</v>
      </c>
      <c r="F108" s="20">
        <f>SUM(F102,F107)</f>
        <v>19375664</v>
      </c>
      <c r="G108" s="20">
        <f>SUM(G102,G107)</f>
        <v>7184541</v>
      </c>
      <c r="H108" s="20">
        <f>SUM(H102,H107)</f>
        <v>28995692.106114749</v>
      </c>
      <c r="I108" s="34"/>
    </row>
    <row r="109" spans="2:13" ht="5.0999999999999996" customHeight="1" x14ac:dyDescent="0.25">
      <c r="B109" s="33"/>
      <c r="I109" s="34"/>
    </row>
    <row r="110" spans="2:13" ht="30" customHeight="1" x14ac:dyDescent="0.25">
      <c r="B110" s="35"/>
      <c r="C110" s="36"/>
      <c r="D110" s="36"/>
      <c r="E110" s="36"/>
      <c r="F110" s="36"/>
      <c r="G110" s="36"/>
      <c r="H110" s="36"/>
      <c r="I110" s="37"/>
    </row>
    <row r="112" spans="2:13" ht="30" customHeight="1" x14ac:dyDescent="0.25">
      <c r="B112" s="118" t="s">
        <v>53</v>
      </c>
      <c r="C112" s="119"/>
      <c r="D112" s="119"/>
      <c r="E112" s="42"/>
      <c r="F112" s="42"/>
      <c r="G112" s="42"/>
      <c r="H112" s="42"/>
      <c r="I112" s="43"/>
    </row>
    <row r="113" spans="2:9" ht="9.9499999999999993" customHeight="1" x14ac:dyDescent="0.25">
      <c r="B113" s="33"/>
      <c r="I113" s="34"/>
    </row>
    <row r="114" spans="2:9" ht="30" customHeight="1" x14ac:dyDescent="0.25">
      <c r="B114" s="33"/>
      <c r="C114" s="116" t="s">
        <v>7</v>
      </c>
      <c r="D114" s="117"/>
      <c r="E114" s="117"/>
      <c r="F114" s="117"/>
      <c r="G114" s="117"/>
      <c r="H114" s="128"/>
      <c r="I114" s="34"/>
    </row>
    <row r="115" spans="2:9" ht="30" customHeight="1" x14ac:dyDescent="0.25">
      <c r="B115" s="33"/>
      <c r="C115" s="25" t="s">
        <v>1</v>
      </c>
      <c r="D115" s="25" t="s">
        <v>2</v>
      </c>
      <c r="E115" s="26">
        <v>1402</v>
      </c>
      <c r="F115" s="26">
        <v>1403</v>
      </c>
      <c r="G115" s="26" t="s">
        <v>65</v>
      </c>
      <c r="H115" s="26">
        <v>1404</v>
      </c>
      <c r="I115" s="34"/>
    </row>
    <row r="116" spans="2:9" ht="30" customHeight="1" x14ac:dyDescent="0.25">
      <c r="B116" s="33"/>
      <c r="C116" s="44"/>
      <c r="D116" s="45"/>
      <c r="E116" s="45"/>
      <c r="F116" s="45"/>
      <c r="G116" s="45"/>
      <c r="H116" s="46"/>
      <c r="I116" s="34"/>
    </row>
    <row r="117" spans="2:9" ht="30" customHeight="1" x14ac:dyDescent="0.25">
      <c r="B117" s="33"/>
      <c r="C117" s="47"/>
      <c r="D117" s="48"/>
      <c r="E117" s="48"/>
      <c r="F117" s="48"/>
      <c r="G117" s="48"/>
      <c r="H117" s="49"/>
      <c r="I117" s="34"/>
    </row>
    <row r="118" spans="2:9" ht="30" customHeight="1" x14ac:dyDescent="0.25">
      <c r="B118" s="33"/>
      <c r="C118" s="44"/>
      <c r="D118" s="45"/>
      <c r="E118" s="45"/>
      <c r="F118" s="45"/>
      <c r="G118" s="45"/>
      <c r="H118" s="46"/>
      <c r="I118" s="34"/>
    </row>
    <row r="119" spans="2:9" ht="30" customHeight="1" x14ac:dyDescent="0.25">
      <c r="B119" s="33"/>
      <c r="C119" s="47"/>
      <c r="D119" s="48"/>
      <c r="E119" s="48"/>
      <c r="F119" s="48"/>
      <c r="G119" s="48"/>
      <c r="H119" s="49"/>
      <c r="I119" s="34"/>
    </row>
    <row r="120" spans="2:9" ht="30" customHeight="1" x14ac:dyDescent="0.25">
      <c r="B120" s="33"/>
      <c r="C120" s="44"/>
      <c r="D120" s="45"/>
      <c r="E120" s="45"/>
      <c r="F120" s="45"/>
      <c r="G120" s="45"/>
      <c r="H120" s="46"/>
      <c r="I120" s="34"/>
    </row>
    <row r="121" spans="2:9" ht="30" customHeight="1" x14ac:dyDescent="0.25">
      <c r="B121" s="33"/>
      <c r="C121" s="47"/>
      <c r="D121" s="48"/>
      <c r="E121" s="48"/>
      <c r="F121" s="48"/>
      <c r="G121" s="48"/>
      <c r="H121" s="49"/>
      <c r="I121" s="34"/>
    </row>
    <row r="122" spans="2:9" ht="30" customHeight="1" x14ac:dyDescent="0.25">
      <c r="B122" s="33"/>
      <c r="C122" s="19" t="s">
        <v>4</v>
      </c>
      <c r="D122" s="20"/>
      <c r="E122" s="20">
        <f>SUBTOTAL(109,درآمد!$E$116:$E$121)</f>
        <v>0</v>
      </c>
      <c r="F122" s="20">
        <f>SUBTOTAL(109,درآمد!$F$116:$F$121)</f>
        <v>0</v>
      </c>
      <c r="G122" s="20"/>
      <c r="H122" s="21">
        <f>SUBTOTAL(109,درآمد!$H$116:$H$121)</f>
        <v>0</v>
      </c>
      <c r="I122" s="34"/>
    </row>
    <row r="123" spans="2:9" ht="30" customHeight="1" x14ac:dyDescent="0.25">
      <c r="B123" s="35"/>
      <c r="C123" s="36"/>
      <c r="D123" s="36"/>
      <c r="E123" s="36"/>
      <c r="F123" s="36"/>
      <c r="G123" s="36"/>
      <c r="H123" s="36"/>
      <c r="I123" s="37"/>
    </row>
    <row r="125" spans="2:9" ht="9.9499999999999993" customHeight="1" x14ac:dyDescent="0.25"/>
    <row r="145" ht="9.9499999999999993" customHeight="1" x14ac:dyDescent="0.25"/>
  </sheetData>
  <mergeCells count="23">
    <mergeCell ref="C103:D103"/>
    <mergeCell ref="B82:D82"/>
    <mergeCell ref="B95:D95"/>
    <mergeCell ref="C97:D97"/>
    <mergeCell ref="C114:H114"/>
    <mergeCell ref="B112:D112"/>
    <mergeCell ref="B88:D88"/>
    <mergeCell ref="J90:J94"/>
    <mergeCell ref="C4:D4"/>
    <mergeCell ref="B2:D2"/>
    <mergeCell ref="B72:D72"/>
    <mergeCell ref="B46:D46"/>
    <mergeCell ref="C34:D34"/>
    <mergeCell ref="C28:D28"/>
    <mergeCell ref="B26:D26"/>
    <mergeCell ref="B16:D16"/>
    <mergeCell ref="C49:H49"/>
    <mergeCell ref="C53:H53"/>
    <mergeCell ref="C74:D74"/>
    <mergeCell ref="C67:D67"/>
    <mergeCell ref="C62:D62"/>
    <mergeCell ref="B60:D60"/>
    <mergeCell ref="C78:D78"/>
  </mergeCells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1851B-6FB9-4DF7-8483-FD5760127BD5}">
  <dimension ref="B2:T105"/>
  <sheetViews>
    <sheetView showGridLines="0" rightToLeft="1" tabSelected="1" topLeftCell="A78" workbookViewId="0">
      <selection activeCell="J101" sqref="J101"/>
    </sheetView>
  </sheetViews>
  <sheetFormatPr defaultRowHeight="30" customHeight="1" x14ac:dyDescent="0.25"/>
  <cols>
    <col min="1" max="2" width="5.7109375" style="1" customWidth="1"/>
    <col min="3" max="3" width="25.7109375" style="1" customWidth="1"/>
    <col min="4" max="4" width="11" style="1" customWidth="1"/>
    <col min="5" max="8" width="15.7109375" style="1" customWidth="1"/>
    <col min="9" max="9" width="5.7109375" style="1" customWidth="1"/>
    <col min="10" max="10" width="17.5703125" style="1" bestFit="1" customWidth="1"/>
    <col min="11" max="11" width="9.140625" style="1"/>
    <col min="12" max="12" width="12.7109375" style="1" bestFit="1" customWidth="1"/>
    <col min="13" max="15" width="11.5703125" style="1" bestFit="1" customWidth="1"/>
    <col min="16" max="16384" width="9.140625" style="1"/>
  </cols>
  <sheetData>
    <row r="2" spans="2:9" ht="30" customHeight="1" x14ac:dyDescent="0.25">
      <c r="B2" s="118" t="s">
        <v>18</v>
      </c>
      <c r="C2" s="119"/>
      <c r="D2" s="119"/>
      <c r="E2" s="42"/>
      <c r="F2" s="42"/>
      <c r="G2" s="42"/>
      <c r="H2" s="42"/>
      <c r="I2" s="43"/>
    </row>
    <row r="3" spans="2:9" ht="9.9499999999999993" customHeight="1" x14ac:dyDescent="0.25">
      <c r="B3" s="33"/>
      <c r="I3" s="34"/>
    </row>
    <row r="4" spans="2:9" ht="30" customHeight="1" x14ac:dyDescent="0.25">
      <c r="B4" s="33"/>
      <c r="C4" s="25" t="s">
        <v>1</v>
      </c>
      <c r="D4" s="25" t="s">
        <v>2</v>
      </c>
      <c r="E4" s="26">
        <v>1402</v>
      </c>
      <c r="F4" s="26">
        <v>1403</v>
      </c>
      <c r="G4" s="26" t="s">
        <v>66</v>
      </c>
      <c r="H4" s="26">
        <v>1404</v>
      </c>
      <c r="I4" s="34"/>
    </row>
    <row r="5" spans="2:9" ht="30" customHeight="1" x14ac:dyDescent="0.25">
      <c r="B5" s="33"/>
      <c r="C5" s="95" t="s">
        <v>118</v>
      </c>
      <c r="D5" s="96"/>
      <c r="E5" s="96">
        <v>17289</v>
      </c>
      <c r="F5" s="96">
        <v>20004</v>
      </c>
      <c r="G5" s="96">
        <v>8523</v>
      </c>
      <c r="H5" s="97">
        <f>H19*$H$10</f>
        <v>19847.576289369405</v>
      </c>
      <c r="I5" s="34"/>
    </row>
    <row r="6" spans="2:9" ht="30" customHeight="1" x14ac:dyDescent="0.25">
      <c r="B6" s="33"/>
      <c r="C6" s="47" t="s">
        <v>119</v>
      </c>
      <c r="D6" s="48"/>
      <c r="E6" s="48">
        <v>47563</v>
      </c>
      <c r="F6" s="48">
        <v>47071</v>
      </c>
      <c r="G6" s="48">
        <v>11174</v>
      </c>
      <c r="H6" s="48">
        <f>H20*$H$11</f>
        <v>46702.9225913271</v>
      </c>
      <c r="I6" s="34"/>
    </row>
    <row r="7" spans="2:9" ht="30" customHeight="1" x14ac:dyDescent="0.25">
      <c r="B7" s="33"/>
      <c r="C7" s="44" t="s">
        <v>120</v>
      </c>
      <c r="D7" s="45"/>
      <c r="E7" s="45">
        <v>772137</v>
      </c>
      <c r="F7" s="45">
        <v>602027</v>
      </c>
      <c r="G7" s="45">
        <v>158956</v>
      </c>
      <c r="H7" s="46">
        <f>H21*$H$11</f>
        <v>597319.37666267727</v>
      </c>
      <c r="I7" s="34"/>
    </row>
    <row r="8" spans="2:9" ht="30" customHeight="1" x14ac:dyDescent="0.25">
      <c r="B8" s="33"/>
      <c r="C8" s="47" t="s">
        <v>121</v>
      </c>
      <c r="D8" s="48"/>
      <c r="E8" s="48">
        <v>229544</v>
      </c>
      <c r="F8" s="48">
        <v>182521</v>
      </c>
      <c r="G8" s="48">
        <v>40500</v>
      </c>
      <c r="H8" s="48">
        <f>H22*$H$11</f>
        <v>181093.75484463075</v>
      </c>
      <c r="I8" s="34"/>
    </row>
    <row r="9" spans="2:9" ht="30" customHeight="1" x14ac:dyDescent="0.25">
      <c r="B9" s="33"/>
      <c r="C9" s="44" t="s">
        <v>67</v>
      </c>
      <c r="D9" s="45"/>
      <c r="E9" s="45">
        <v>1617123</v>
      </c>
      <c r="F9" s="45">
        <v>1704859</v>
      </c>
      <c r="G9" s="45">
        <v>350176</v>
      </c>
      <c r="H9" s="46">
        <f>H23*$H$11</f>
        <v>1691527.6477263568</v>
      </c>
      <c r="I9" s="34"/>
    </row>
    <row r="10" spans="2:9" ht="30" customHeight="1" x14ac:dyDescent="0.25">
      <c r="B10" s="33"/>
      <c r="C10" s="38" t="s">
        <v>94</v>
      </c>
      <c r="D10" s="38"/>
      <c r="E10" s="38">
        <f>درآمد!E11</f>
        <v>411129</v>
      </c>
      <c r="F10" s="38">
        <f>درآمد!F11</f>
        <v>433933</v>
      </c>
      <c r="G10" s="38">
        <f>درآمد!G11</f>
        <v>147807</v>
      </c>
      <c r="H10" s="38">
        <f>درآمد!H11</f>
        <v>430539.80813711928</v>
      </c>
      <c r="I10" s="34"/>
    </row>
    <row r="11" spans="2:9" ht="30" customHeight="1" x14ac:dyDescent="0.25">
      <c r="B11" s="33"/>
      <c r="C11" s="85" t="s">
        <v>95</v>
      </c>
      <c r="D11" s="86"/>
      <c r="E11" s="86">
        <f>درآمد!E13</f>
        <v>1666136</v>
      </c>
      <c r="F11" s="86">
        <f>درآمد!F13</f>
        <v>1612610</v>
      </c>
      <c r="G11" s="86">
        <f>درآمد!G13</f>
        <v>358731</v>
      </c>
      <c r="H11" s="86">
        <f>درآمد!H13</f>
        <v>1600000</v>
      </c>
      <c r="I11" s="34"/>
    </row>
    <row r="12" spans="2:9" ht="5.0999999999999996" customHeight="1" x14ac:dyDescent="0.25">
      <c r="B12" s="33"/>
      <c r="I12" s="34"/>
    </row>
    <row r="13" spans="2:9" ht="5.0999999999999996" customHeight="1" x14ac:dyDescent="0.25">
      <c r="B13" s="33"/>
      <c r="I13" s="34"/>
    </row>
    <row r="14" spans="2:9" ht="30" customHeight="1" x14ac:dyDescent="0.25">
      <c r="B14" s="35"/>
      <c r="C14" s="36"/>
      <c r="D14" s="36"/>
      <c r="E14" s="36"/>
      <c r="F14" s="36"/>
      <c r="G14" s="36"/>
      <c r="H14" s="36"/>
      <c r="I14" s="37"/>
    </row>
    <row r="16" spans="2:9" ht="30" customHeight="1" x14ac:dyDescent="0.25">
      <c r="B16" s="118" t="s">
        <v>19</v>
      </c>
      <c r="C16" s="119"/>
      <c r="D16" s="119"/>
      <c r="E16" s="42"/>
      <c r="F16" s="42"/>
      <c r="G16" s="42"/>
      <c r="H16" s="42"/>
      <c r="I16" s="43"/>
    </row>
    <row r="17" spans="2:15" ht="9.9499999999999993" customHeight="1" x14ac:dyDescent="0.25">
      <c r="B17" s="33"/>
      <c r="I17" s="34"/>
    </row>
    <row r="18" spans="2:15" ht="30" customHeight="1" x14ac:dyDescent="0.25">
      <c r="B18" s="33"/>
      <c r="C18" s="25" t="s">
        <v>1</v>
      </c>
      <c r="D18" s="25" t="s">
        <v>2</v>
      </c>
      <c r="E18" s="26">
        <v>1402</v>
      </c>
      <c r="F18" s="26">
        <v>1403</v>
      </c>
      <c r="G18" s="26" t="s">
        <v>66</v>
      </c>
      <c r="H18" s="26">
        <v>1404</v>
      </c>
      <c r="I18" s="34"/>
    </row>
    <row r="19" spans="2:15" ht="30" customHeight="1" x14ac:dyDescent="0.25">
      <c r="B19" s="33"/>
      <c r="C19" s="44" t="s">
        <v>118</v>
      </c>
      <c r="D19" s="45"/>
      <c r="E19" s="52">
        <f>E5/E10</f>
        <v>4.2052494472537817E-2</v>
      </c>
      <c r="F19" s="52">
        <f t="shared" ref="F19:G20" si="0">F5/F10</f>
        <v>4.6099282608144575E-2</v>
      </c>
      <c r="G19" s="52">
        <f>G5/G10</f>
        <v>5.7663033550508433E-2</v>
      </c>
      <c r="H19" s="52">
        <v>4.6099282608144575E-2</v>
      </c>
      <c r="I19" s="34"/>
      <c r="L19" s="84"/>
    </row>
    <row r="20" spans="2:15" ht="30" customHeight="1" x14ac:dyDescent="0.25">
      <c r="B20" s="33"/>
      <c r="C20" s="47" t="s">
        <v>119</v>
      </c>
      <c r="D20" s="48"/>
      <c r="E20" s="83">
        <f>E6/E11</f>
        <v>2.8546889329562532E-2</v>
      </c>
      <c r="F20" s="83">
        <f t="shared" si="0"/>
        <v>2.9189326619579438E-2</v>
      </c>
      <c r="G20" s="83">
        <f t="shared" si="0"/>
        <v>3.1148688014138729E-2</v>
      </c>
      <c r="H20" s="53">
        <v>2.9189326619579438E-2</v>
      </c>
      <c r="I20" s="34"/>
    </row>
    <row r="21" spans="2:15" ht="30" customHeight="1" x14ac:dyDescent="0.25">
      <c r="B21" s="33"/>
      <c r="C21" s="44" t="s">
        <v>120</v>
      </c>
      <c r="D21" s="45"/>
      <c r="E21" s="52">
        <f>E7/E11</f>
        <v>0.46342975603432135</v>
      </c>
      <c r="F21" s="52">
        <f>F7/F11</f>
        <v>0.37332461041417331</v>
      </c>
      <c r="G21" s="52">
        <f>G7/G11</f>
        <v>0.44310639448500411</v>
      </c>
      <c r="H21" s="52">
        <v>0.37332461041417331</v>
      </c>
      <c r="I21" s="34"/>
    </row>
    <row r="22" spans="2:15" ht="30" customHeight="1" x14ac:dyDescent="0.25">
      <c r="B22" s="33"/>
      <c r="C22" s="47" t="s">
        <v>121</v>
      </c>
      <c r="D22" s="48"/>
      <c r="E22" s="83">
        <f>E8/E11</f>
        <v>0.13777026605271117</v>
      </c>
      <c r="F22" s="83">
        <f>F8/F11</f>
        <v>0.11318359677789422</v>
      </c>
      <c r="G22" s="83">
        <f>G8/G11</f>
        <v>0.11289796532778043</v>
      </c>
      <c r="H22" s="53">
        <v>0.11318359677789422</v>
      </c>
      <c r="I22" s="34"/>
    </row>
    <row r="23" spans="2:15" ht="30" customHeight="1" x14ac:dyDescent="0.25">
      <c r="B23" s="33"/>
      <c r="C23" s="44" t="s">
        <v>67</v>
      </c>
      <c r="D23" s="45"/>
      <c r="E23" s="52">
        <f>E9/E11</f>
        <v>0.97058283357421005</v>
      </c>
      <c r="F23" s="52">
        <f>F9/F11</f>
        <v>1.057204779828973</v>
      </c>
      <c r="G23" s="52">
        <f>G9/G11</f>
        <v>0.97615204707705772</v>
      </c>
      <c r="H23" s="52">
        <v>1.057204779828973</v>
      </c>
      <c r="I23" s="34"/>
    </row>
    <row r="25" spans="2:15" ht="30" customHeight="1" x14ac:dyDescent="0.25">
      <c r="B25" s="118" t="s">
        <v>20</v>
      </c>
      <c r="C25" s="119"/>
      <c r="D25" s="119"/>
      <c r="E25" s="42"/>
      <c r="F25" s="42"/>
      <c r="G25" s="42"/>
      <c r="H25" s="42"/>
      <c r="I25" s="43"/>
    </row>
    <row r="26" spans="2:15" ht="9.9499999999999993" customHeight="1" x14ac:dyDescent="0.25">
      <c r="B26" s="33"/>
      <c r="I26" s="34"/>
    </row>
    <row r="27" spans="2:15" ht="30" customHeight="1" x14ac:dyDescent="0.25">
      <c r="B27" s="33"/>
      <c r="C27" s="25" t="s">
        <v>1</v>
      </c>
      <c r="D27" s="25" t="s">
        <v>2</v>
      </c>
      <c r="E27" s="26">
        <v>1402</v>
      </c>
      <c r="F27" s="26">
        <v>1403</v>
      </c>
      <c r="G27" s="26" t="s">
        <v>66</v>
      </c>
      <c r="H27" s="26">
        <v>1404</v>
      </c>
      <c r="I27" s="34"/>
      <c r="J27" s="1" t="s">
        <v>99</v>
      </c>
    </row>
    <row r="28" spans="2:15" ht="30" customHeight="1" x14ac:dyDescent="0.25">
      <c r="B28" s="33"/>
      <c r="C28" s="44" t="s">
        <v>118</v>
      </c>
      <c r="D28" s="45"/>
      <c r="E28" s="45">
        <v>2361559</v>
      </c>
      <c r="F28" s="45">
        <v>2576535</v>
      </c>
      <c r="G28" s="45">
        <v>2682154</v>
      </c>
      <c r="H28" s="57">
        <f>F28*(1+مفروضات!$E$11)</f>
        <v>3349495.5</v>
      </c>
      <c r="I28" s="34"/>
      <c r="K28" s="84"/>
      <c r="L28" s="84"/>
      <c r="M28" s="84"/>
      <c r="N28" s="84"/>
      <c r="O28" s="84"/>
    </row>
    <row r="29" spans="2:15" ht="30" customHeight="1" x14ac:dyDescent="0.25">
      <c r="B29" s="33"/>
      <c r="C29" s="47" t="s">
        <v>119</v>
      </c>
      <c r="D29" s="48"/>
      <c r="E29" s="48">
        <v>7348906</v>
      </c>
      <c r="F29" s="48">
        <v>10860955</v>
      </c>
      <c r="G29" s="48">
        <v>10866744</v>
      </c>
      <c r="H29" s="57">
        <f>F29*(1+مفروضات!$E$11)</f>
        <v>14119241.5</v>
      </c>
      <c r="I29" s="34"/>
      <c r="K29" s="84"/>
      <c r="L29" s="84"/>
      <c r="M29" s="84"/>
    </row>
    <row r="30" spans="2:15" ht="30" customHeight="1" x14ac:dyDescent="0.25">
      <c r="B30" s="33"/>
      <c r="C30" s="44" t="s">
        <v>120</v>
      </c>
      <c r="D30" s="45"/>
      <c r="E30" s="45">
        <v>546268</v>
      </c>
      <c r="F30" s="45">
        <v>710863</v>
      </c>
      <c r="G30" s="45">
        <v>824983</v>
      </c>
      <c r="H30" s="57">
        <f>F30*(1+مفروضات!$E$11)</f>
        <v>924121.9</v>
      </c>
      <c r="I30" s="34"/>
      <c r="K30" s="84"/>
      <c r="L30" s="84"/>
      <c r="M30" s="84"/>
    </row>
    <row r="31" spans="2:15" ht="30" customHeight="1" x14ac:dyDescent="0.25">
      <c r="B31" s="33"/>
      <c r="C31" s="47" t="s">
        <v>121</v>
      </c>
      <c r="D31" s="48"/>
      <c r="E31" s="48">
        <v>4163337</v>
      </c>
      <c r="F31" s="48">
        <v>5857184</v>
      </c>
      <c r="G31" s="48">
        <v>6530346</v>
      </c>
      <c r="H31" s="57">
        <f>F31*(1+مفروضات!$E$11)</f>
        <v>7614339.2000000002</v>
      </c>
      <c r="I31" s="34"/>
      <c r="K31" s="84"/>
      <c r="L31" s="84"/>
      <c r="M31" s="92"/>
    </row>
    <row r="32" spans="2:15" ht="30" customHeight="1" x14ac:dyDescent="0.25">
      <c r="B32" s="33"/>
      <c r="C32" s="44" t="s">
        <v>67</v>
      </c>
      <c r="D32" s="45"/>
      <c r="E32" s="45">
        <v>461261</v>
      </c>
      <c r="F32" s="45">
        <v>694476</v>
      </c>
      <c r="G32" s="45">
        <v>757419</v>
      </c>
      <c r="H32" s="57">
        <f>F32*(1+مفروضات!$E$11)</f>
        <v>902818.8</v>
      </c>
      <c r="I32" s="34"/>
      <c r="K32" s="84"/>
      <c r="L32" s="84"/>
      <c r="M32" s="84"/>
    </row>
    <row r="33" spans="2:20" ht="30" customHeight="1" x14ac:dyDescent="0.25">
      <c r="B33" s="35"/>
      <c r="C33" s="36"/>
      <c r="D33" s="36"/>
      <c r="E33" s="36"/>
      <c r="F33" s="36"/>
      <c r="G33" s="36"/>
      <c r="H33" s="36"/>
      <c r="I33" s="37"/>
    </row>
    <row r="35" spans="2:20" ht="45.75" hidden="1" customHeight="1" x14ac:dyDescent="0.25">
      <c r="B35" s="118" t="s">
        <v>96</v>
      </c>
      <c r="C35" s="119"/>
      <c r="D35" s="119"/>
      <c r="E35" s="42"/>
      <c r="F35" s="42"/>
      <c r="G35" s="42"/>
      <c r="H35" s="42"/>
      <c r="I35" s="43"/>
    </row>
    <row r="36" spans="2:20" ht="9.9499999999999993" hidden="1" customHeight="1" x14ac:dyDescent="0.25">
      <c r="B36" s="33"/>
      <c r="I36" s="34"/>
    </row>
    <row r="37" spans="2:20" ht="30" hidden="1" customHeight="1" x14ac:dyDescent="0.25">
      <c r="B37" s="33"/>
      <c r="C37" s="25" t="s">
        <v>1</v>
      </c>
      <c r="D37" s="25" t="s">
        <v>2</v>
      </c>
      <c r="E37" s="26">
        <v>1402</v>
      </c>
      <c r="F37" s="26">
        <v>1403</v>
      </c>
      <c r="G37" s="26" t="s">
        <v>66</v>
      </c>
      <c r="H37" s="26">
        <v>1404</v>
      </c>
      <c r="I37" s="34"/>
    </row>
    <row r="38" spans="2:20" ht="30" hidden="1" customHeight="1" x14ac:dyDescent="0.25">
      <c r="B38" s="33"/>
      <c r="C38" s="44" t="s">
        <v>118</v>
      </c>
      <c r="D38" s="45"/>
      <c r="E38" s="87">
        <f>E28/درآمد!$E$64</f>
        <v>0.22558080711111519</v>
      </c>
      <c r="F38" s="87">
        <f>F28/درآمد!$F$64</f>
        <v>0.22083301728028099</v>
      </c>
      <c r="G38" s="87">
        <f>G28/درآمد!$G$64</f>
        <v>0.17366298831332028</v>
      </c>
      <c r="H38" s="87">
        <v>4.4095706065432873E-2</v>
      </c>
      <c r="I38" s="34"/>
    </row>
    <row r="39" spans="2:20" ht="30" hidden="1" customHeight="1" x14ac:dyDescent="0.25">
      <c r="B39" s="33"/>
      <c r="C39" s="47" t="s">
        <v>119</v>
      </c>
      <c r="D39" s="48"/>
      <c r="E39" s="87">
        <f>E29/درآمد!$E$64</f>
        <v>0.7019821003259783</v>
      </c>
      <c r="F39" s="87">
        <f>F29/درآمد!$F$64</f>
        <v>0.93088487569365608</v>
      </c>
      <c r="G39" s="87">
        <f>G29/درآمد!$G$64</f>
        <v>0.70359540737625181</v>
      </c>
      <c r="H39" s="88">
        <v>3.6882565104499283E-2</v>
      </c>
      <c r="I39" s="34"/>
    </row>
    <row r="40" spans="2:20" ht="30" hidden="1" customHeight="1" x14ac:dyDescent="0.25">
      <c r="B40" s="33"/>
      <c r="C40" s="44" t="s">
        <v>120</v>
      </c>
      <c r="D40" s="45"/>
      <c r="E40" s="87">
        <f>E30/درآمد!$E$64</f>
        <v>5.2180604566294836E-2</v>
      </c>
      <c r="F40" s="87">
        <f>F30/درآمد!$F$64</f>
        <v>6.0927571782612065E-2</v>
      </c>
      <c r="G40" s="87">
        <f>G30/درآمد!$G$64</f>
        <v>5.3415655136762434E-2</v>
      </c>
      <c r="H40" s="87">
        <v>3.6299399529808853E-2</v>
      </c>
      <c r="I40" s="34"/>
    </row>
    <row r="41" spans="2:20" ht="30" hidden="1" customHeight="1" x14ac:dyDescent="0.25">
      <c r="B41" s="33"/>
      <c r="C41" s="47" t="s">
        <v>121</v>
      </c>
      <c r="D41" s="48"/>
      <c r="E41" s="87">
        <f>E31/درآمد!$E$64</f>
        <v>0.39769022105125001</v>
      </c>
      <c r="F41" s="87">
        <f>F31/درآمد!$F$64</f>
        <v>0.50201515426174503</v>
      </c>
      <c r="G41" s="87">
        <f>G31/درآمد!$G$64</f>
        <v>0.4228241186300033</v>
      </c>
      <c r="H41" s="88">
        <v>2.1294154582962865E-2</v>
      </c>
      <c r="I41" s="34"/>
    </row>
    <row r="42" spans="2:20" ht="30" hidden="1" customHeight="1" x14ac:dyDescent="0.25">
      <c r="B42" s="33"/>
      <c r="C42" s="44" t="s">
        <v>67</v>
      </c>
      <c r="D42" s="45"/>
      <c r="E42" s="87">
        <f>E32/درآمد!$E$64</f>
        <v>4.4060567052900269E-2</v>
      </c>
      <c r="F42" s="87">
        <f>F32/درآمد!$F$64</f>
        <v>5.9523053445321106E-2</v>
      </c>
      <c r="G42" s="87">
        <f>G32/درآمد!$G$64</f>
        <v>4.9041049449541949E-2</v>
      </c>
      <c r="H42" s="87">
        <v>0.57655966096136213</v>
      </c>
      <c r="I42" s="34"/>
    </row>
    <row r="43" spans="2:20" ht="30" hidden="1" customHeight="1" x14ac:dyDescent="0.25">
      <c r="B43" s="35"/>
      <c r="C43" s="36"/>
      <c r="D43" s="36"/>
      <c r="E43" s="36"/>
      <c r="F43" s="36"/>
      <c r="G43" s="36"/>
      <c r="H43" s="36"/>
      <c r="I43" s="37"/>
    </row>
    <row r="44" spans="2:20" ht="30" hidden="1" customHeight="1" x14ac:dyDescent="0.25"/>
    <row r="45" spans="2:20" ht="30" customHeight="1" x14ac:dyDescent="0.25">
      <c r="B45" s="118" t="s">
        <v>21</v>
      </c>
      <c r="C45" s="119"/>
      <c r="D45" s="119"/>
      <c r="E45" s="42"/>
      <c r="F45" s="42"/>
      <c r="G45" s="42"/>
      <c r="H45" s="42"/>
      <c r="I45" s="43"/>
    </row>
    <row r="46" spans="2:20" ht="9.9499999999999993" customHeight="1" x14ac:dyDescent="0.25">
      <c r="B46" s="33"/>
      <c r="I46" s="34"/>
    </row>
    <row r="47" spans="2:20" ht="30" customHeight="1" x14ac:dyDescent="0.25">
      <c r="B47" s="33"/>
      <c r="C47" s="25" t="s">
        <v>1</v>
      </c>
      <c r="D47" s="25" t="s">
        <v>2</v>
      </c>
      <c r="E47" s="26">
        <v>1402</v>
      </c>
      <c r="F47" s="26">
        <v>1403</v>
      </c>
      <c r="G47" s="26" t="s">
        <v>66</v>
      </c>
      <c r="H47" s="26">
        <v>1404</v>
      </c>
      <c r="I47" s="34"/>
    </row>
    <row r="48" spans="2:20" ht="30" customHeight="1" x14ac:dyDescent="0.25">
      <c r="B48" s="33"/>
      <c r="C48" s="44" t="s">
        <v>118</v>
      </c>
      <c r="D48" s="45"/>
      <c r="E48" s="45">
        <v>40829</v>
      </c>
      <c r="F48" s="45">
        <v>51541</v>
      </c>
      <c r="G48" s="45">
        <v>22860</v>
      </c>
      <c r="H48" s="46">
        <f>(H5*H28)/1000000</f>
        <v>66479.367467149525</v>
      </c>
      <c r="I48" s="34"/>
      <c r="L48" s="99"/>
      <c r="M48" s="99"/>
      <c r="N48" s="99"/>
      <c r="O48" s="99"/>
      <c r="Q48" s="84"/>
      <c r="R48" s="84"/>
      <c r="S48" s="84"/>
      <c r="T48" s="84"/>
    </row>
    <row r="49" spans="2:15" ht="30" customHeight="1" x14ac:dyDescent="0.25">
      <c r="B49" s="33"/>
      <c r="C49" s="47" t="s">
        <v>119</v>
      </c>
      <c r="D49" s="48"/>
      <c r="E49" s="48">
        <v>349536</v>
      </c>
      <c r="F49" s="48">
        <v>511236</v>
      </c>
      <c r="G49" s="48">
        <v>121425</v>
      </c>
      <c r="H49" s="46">
        <f>(H6*H29)/1000000</f>
        <v>659409.84282275313</v>
      </c>
      <c r="I49" s="34"/>
    </row>
    <row r="50" spans="2:15" ht="30" customHeight="1" x14ac:dyDescent="0.25">
      <c r="B50" s="33"/>
      <c r="C50" s="44" t="s">
        <v>120</v>
      </c>
      <c r="D50" s="45"/>
      <c r="E50" s="45">
        <v>421794</v>
      </c>
      <c r="F50" s="45">
        <v>427959</v>
      </c>
      <c r="G50" s="45">
        <v>131136</v>
      </c>
      <c r="H50" s="46">
        <f>(H7*H30)/1000000</f>
        <v>551995.91726832895</v>
      </c>
      <c r="I50" s="34"/>
    </row>
    <row r="51" spans="2:15" ht="30" customHeight="1" x14ac:dyDescent="0.25">
      <c r="B51" s="33"/>
      <c r="C51" s="47" t="s">
        <v>121</v>
      </c>
      <c r="D51" s="48"/>
      <c r="E51" s="48">
        <v>955669</v>
      </c>
      <c r="F51" s="48">
        <v>1069059</v>
      </c>
      <c r="G51" s="48">
        <v>264479</v>
      </c>
      <c r="H51" s="46">
        <f>(H8*H31)/1000000</f>
        <v>1378909.2763886619</v>
      </c>
      <c r="I51" s="34"/>
    </row>
    <row r="52" spans="2:15" ht="30" customHeight="1" x14ac:dyDescent="0.25">
      <c r="B52" s="33"/>
      <c r="C52" s="44" t="s">
        <v>67</v>
      </c>
      <c r="D52" s="45"/>
      <c r="E52" s="45">
        <v>745916</v>
      </c>
      <c r="F52" s="45">
        <v>1183983</v>
      </c>
      <c r="G52" s="45">
        <v>265230</v>
      </c>
      <c r="H52" s="46">
        <f>(H9*H32)/1000000</f>
        <v>1527142.9610871323</v>
      </c>
      <c r="I52" s="34"/>
    </row>
    <row r="53" spans="2:15" ht="30" customHeight="1" x14ac:dyDescent="0.25">
      <c r="B53" s="33"/>
      <c r="C53" s="50" t="s">
        <v>22</v>
      </c>
      <c r="D53" s="51"/>
      <c r="E53" s="51">
        <f>SUBTOTAL(109,'بهای تمام شده'!$E$48:$E$52)</f>
        <v>2513744</v>
      </c>
      <c r="F53" s="51">
        <f>SUBTOTAL(109,'بهای تمام شده'!$F$48:$F$52)</f>
        <v>3243778</v>
      </c>
      <c r="G53" s="51">
        <f>SUBTOTAL(109,'بهای تمام شده'!$G$48:$G$52)</f>
        <v>805130</v>
      </c>
      <c r="H53" s="51">
        <f>SUBTOTAL(109,'بهای تمام شده'!$H$48:$H$52)</f>
        <v>4183937.3650340256</v>
      </c>
      <c r="I53" s="34"/>
      <c r="L53" s="99"/>
      <c r="M53" s="99"/>
      <c r="N53" s="99"/>
      <c r="O53" s="99"/>
    </row>
    <row r="54" spans="2:15" ht="30" customHeight="1" x14ac:dyDescent="0.25">
      <c r="B54" s="35"/>
      <c r="C54" s="36"/>
      <c r="D54" s="36"/>
      <c r="E54" s="36"/>
      <c r="F54" s="36"/>
      <c r="G54" s="36"/>
      <c r="H54" s="36"/>
      <c r="I54" s="37"/>
    </row>
    <row r="56" spans="2:15" ht="30" customHeight="1" x14ac:dyDescent="0.25">
      <c r="B56" s="118" t="s">
        <v>23</v>
      </c>
      <c r="C56" s="119"/>
      <c r="D56" s="119"/>
      <c r="E56" s="42"/>
      <c r="F56" s="42"/>
      <c r="G56" s="42"/>
      <c r="H56" s="42"/>
      <c r="I56" s="43"/>
    </row>
    <row r="57" spans="2:15" ht="9.9499999999999993" customHeight="1" x14ac:dyDescent="0.25">
      <c r="B57" s="33"/>
      <c r="I57" s="34"/>
    </row>
    <row r="58" spans="2:15" ht="30" customHeight="1" x14ac:dyDescent="0.25">
      <c r="B58" s="33"/>
      <c r="C58" s="25" t="s">
        <v>1</v>
      </c>
      <c r="D58" s="25" t="s">
        <v>2</v>
      </c>
      <c r="E58" s="26">
        <v>1402</v>
      </c>
      <c r="F58" s="26">
        <v>1403</v>
      </c>
      <c r="G58" s="26" t="s">
        <v>66</v>
      </c>
      <c r="H58" s="26">
        <v>1404</v>
      </c>
      <c r="I58" s="34"/>
    </row>
    <row r="59" spans="2:15" ht="30" customHeight="1" x14ac:dyDescent="0.25">
      <c r="B59" s="33"/>
      <c r="C59" s="44" t="s">
        <v>68</v>
      </c>
      <c r="D59" s="45"/>
      <c r="E59" s="45">
        <v>1482987</v>
      </c>
      <c r="F59" s="45">
        <v>2203807</v>
      </c>
      <c r="G59" s="45">
        <v>116396</v>
      </c>
      <c r="H59" s="46">
        <f>(F59/درآمد!$F$12*درآمد!$H$12)*(1+مفروضات!$E$11)</f>
        <v>2208113.3122169375</v>
      </c>
      <c r="I59" s="34"/>
    </row>
    <row r="60" spans="2:15" ht="30" customHeight="1" x14ac:dyDescent="0.25">
      <c r="B60" s="33"/>
      <c r="C60" s="47" t="s">
        <v>69</v>
      </c>
      <c r="D60" s="48"/>
      <c r="E60" s="48">
        <v>746833</v>
      </c>
      <c r="F60" s="48">
        <v>874395</v>
      </c>
      <c r="G60" s="48">
        <v>259928</v>
      </c>
      <c r="H60" s="46">
        <f>F60*(1+مفروضات!$E$11)</f>
        <v>1136713.5</v>
      </c>
      <c r="I60" s="34"/>
    </row>
    <row r="61" spans="2:15" ht="30" customHeight="1" x14ac:dyDescent="0.25">
      <c r="B61" s="33"/>
      <c r="C61" s="44" t="s">
        <v>70</v>
      </c>
      <c r="D61" s="45"/>
      <c r="E61" s="45">
        <v>1898772</v>
      </c>
      <c r="F61" s="45">
        <v>2043494</v>
      </c>
      <c r="G61" s="45">
        <v>1129760</v>
      </c>
      <c r="H61" s="45">
        <f>'هزینه انرژی'!H35</f>
        <v>5613460.0915561235</v>
      </c>
      <c r="I61" s="34"/>
    </row>
    <row r="62" spans="2:15" ht="30" customHeight="1" x14ac:dyDescent="0.25">
      <c r="B62" s="33"/>
      <c r="C62" s="47" t="s">
        <v>71</v>
      </c>
      <c r="D62" s="48"/>
      <c r="E62" s="48">
        <v>134938</v>
      </c>
      <c r="F62" s="48">
        <v>150195</v>
      </c>
      <c r="G62" s="48">
        <v>47666</v>
      </c>
      <c r="H62" s="49">
        <f>(F62/درآمد!$F$12*درآمد!$H$12)*(1+مفروضات!$E$11)</f>
        <v>150488.4860282334</v>
      </c>
      <c r="I62" s="34"/>
    </row>
    <row r="63" spans="2:15" ht="30" customHeight="1" x14ac:dyDescent="0.25">
      <c r="B63" s="33"/>
      <c r="C63" s="44" t="s">
        <v>72</v>
      </c>
      <c r="D63" s="45"/>
      <c r="E63" s="45">
        <v>0</v>
      </c>
      <c r="F63" s="45">
        <v>0</v>
      </c>
      <c r="G63" s="45">
        <v>0</v>
      </c>
      <c r="H63" s="46">
        <v>0</v>
      </c>
      <c r="I63" s="34"/>
    </row>
    <row r="64" spans="2:15" ht="30" customHeight="1" x14ac:dyDescent="0.25">
      <c r="B64" s="33"/>
      <c r="C64" s="47" t="s">
        <v>73</v>
      </c>
      <c r="D64" s="48"/>
      <c r="E64" s="48">
        <v>0</v>
      </c>
      <c r="F64" s="48">
        <v>0</v>
      </c>
      <c r="G64" s="48">
        <v>0</v>
      </c>
      <c r="H64" s="49">
        <v>0</v>
      </c>
      <c r="I64" s="34"/>
    </row>
    <row r="65" spans="2:9" ht="30" customHeight="1" x14ac:dyDescent="0.25">
      <c r="B65" s="33"/>
      <c r="C65" s="44" t="s">
        <v>74</v>
      </c>
      <c r="D65" s="45"/>
      <c r="E65" s="45">
        <v>0</v>
      </c>
      <c r="F65" s="45">
        <v>0</v>
      </c>
      <c r="G65" s="45">
        <v>0</v>
      </c>
      <c r="H65" s="46">
        <v>0</v>
      </c>
      <c r="I65" s="34"/>
    </row>
    <row r="66" spans="2:9" ht="30" customHeight="1" x14ac:dyDescent="0.25">
      <c r="B66" s="33"/>
      <c r="C66" s="47" t="s">
        <v>75</v>
      </c>
      <c r="D66" s="48"/>
      <c r="E66" s="48">
        <v>0</v>
      </c>
      <c r="F66" s="48">
        <v>0</v>
      </c>
      <c r="G66" s="48">
        <v>0</v>
      </c>
      <c r="H66" s="49">
        <v>0</v>
      </c>
      <c r="I66" s="34"/>
    </row>
    <row r="67" spans="2:9" ht="30" customHeight="1" x14ac:dyDescent="0.25">
      <c r="B67" s="33"/>
      <c r="C67" s="44" t="s">
        <v>76</v>
      </c>
      <c r="D67" s="45"/>
      <c r="E67" s="45">
        <v>489974</v>
      </c>
      <c r="F67" s="45">
        <v>532170</v>
      </c>
      <c r="G67" s="45">
        <v>135058</v>
      </c>
      <c r="H67" s="46">
        <f>(F67/درآمد!$F$12*درآمد!$H$12)*(1+مفروضات!$E$11)</f>
        <v>533209.8778897099</v>
      </c>
      <c r="I67" s="34"/>
    </row>
    <row r="68" spans="2:9" ht="30" customHeight="1" x14ac:dyDescent="0.25">
      <c r="B68" s="33"/>
      <c r="C68" s="47" t="s">
        <v>77</v>
      </c>
      <c r="D68" s="48"/>
      <c r="E68" s="48">
        <v>1027883</v>
      </c>
      <c r="F68" s="48">
        <v>982221</v>
      </c>
      <c r="G68" s="48">
        <v>808178</v>
      </c>
      <c r="H68" s="46">
        <f>(F68/درآمد!$F$12*درآمد!$H$12)*(1+مفروضات!$E$11)</f>
        <v>984140.29252063949</v>
      </c>
      <c r="I68" s="34"/>
    </row>
    <row r="69" spans="2:9" ht="30" customHeight="1" x14ac:dyDescent="0.25">
      <c r="B69" s="33"/>
      <c r="C69" s="50" t="s">
        <v>22</v>
      </c>
      <c r="D69" s="51"/>
      <c r="E69" s="51">
        <f>SUBTOTAL(109,'بهای تمام شده'!$E$59:$E$68)</f>
        <v>5781387</v>
      </c>
      <c r="F69" s="51">
        <f>SUBTOTAL(109,'بهای تمام شده'!$F$59:$F$68)</f>
        <v>6786282</v>
      </c>
      <c r="G69" s="51">
        <f>SUBTOTAL(109,'بهای تمام شده'!$G$59:$G$68)</f>
        <v>2496986</v>
      </c>
      <c r="H69" s="51">
        <f>SUBTOTAL(109,'بهای تمام شده'!$H$59:$H$68)</f>
        <v>10626125.560211644</v>
      </c>
      <c r="I69" s="34"/>
    </row>
    <row r="70" spans="2:9" ht="30" customHeight="1" x14ac:dyDescent="0.25">
      <c r="B70" s="35"/>
      <c r="C70" s="36"/>
      <c r="D70" s="36"/>
      <c r="E70" s="36"/>
      <c r="F70" s="36"/>
      <c r="G70" s="36"/>
      <c r="H70" s="36"/>
      <c r="I70" s="37"/>
    </row>
    <row r="72" spans="2:9" ht="30" customHeight="1" x14ac:dyDescent="0.25">
      <c r="B72" s="118" t="s">
        <v>24</v>
      </c>
      <c r="C72" s="119"/>
      <c r="D72" s="119"/>
      <c r="E72" s="42"/>
      <c r="F72" s="42"/>
      <c r="G72" s="42"/>
      <c r="H72" s="42"/>
      <c r="I72" s="43"/>
    </row>
    <row r="73" spans="2:9" ht="9.9499999999999993" customHeight="1" x14ac:dyDescent="0.25">
      <c r="B73" s="33"/>
      <c r="I73" s="34"/>
    </row>
    <row r="74" spans="2:9" ht="30" customHeight="1" x14ac:dyDescent="0.25">
      <c r="B74" s="33"/>
      <c r="C74" s="25" t="s">
        <v>1</v>
      </c>
      <c r="D74" s="25" t="s">
        <v>2</v>
      </c>
      <c r="E74" s="26">
        <v>1402</v>
      </c>
      <c r="F74" s="26">
        <v>1403</v>
      </c>
      <c r="G74" s="26" t="s">
        <v>66</v>
      </c>
      <c r="H74" s="26">
        <v>1404</v>
      </c>
      <c r="I74" s="34"/>
    </row>
    <row r="75" spans="2:9" ht="30" customHeight="1" x14ac:dyDescent="0.25">
      <c r="B75" s="33"/>
      <c r="C75" s="44" t="s">
        <v>68</v>
      </c>
      <c r="D75" s="45"/>
      <c r="E75" s="45">
        <v>271119</v>
      </c>
      <c r="F75" s="45">
        <v>347642</v>
      </c>
      <c r="G75" s="45">
        <v>84553</v>
      </c>
      <c r="H75" s="46">
        <f>(F75/درآمد!$F$41*درآمد!$H$41)*(1+مفروضات!$E$11)</f>
        <v>451551.56816504471</v>
      </c>
      <c r="I75" s="34"/>
    </row>
    <row r="76" spans="2:9" ht="30" customHeight="1" x14ac:dyDescent="0.25">
      <c r="B76" s="33"/>
      <c r="C76" s="47" t="s">
        <v>69</v>
      </c>
      <c r="D76" s="48"/>
      <c r="E76" s="48">
        <v>4539</v>
      </c>
      <c r="F76" s="48">
        <v>4841</v>
      </c>
      <c r="G76" s="48">
        <v>906</v>
      </c>
      <c r="H76" s="46">
        <f>F76*(1+مفروضات!$E$11)</f>
        <v>6293.3</v>
      </c>
      <c r="I76" s="34"/>
    </row>
    <row r="77" spans="2:9" ht="30" customHeight="1" x14ac:dyDescent="0.25">
      <c r="B77" s="33"/>
      <c r="C77" s="44" t="s">
        <v>70</v>
      </c>
      <c r="D77" s="45"/>
      <c r="E77" s="45">
        <v>0</v>
      </c>
      <c r="F77" s="45">
        <v>0</v>
      </c>
      <c r="G77" s="45">
        <v>0</v>
      </c>
      <c r="H77" s="46">
        <f>F77*(1+مفروضات!$E$11)</f>
        <v>0</v>
      </c>
      <c r="I77" s="34"/>
    </row>
    <row r="78" spans="2:9" ht="30" customHeight="1" x14ac:dyDescent="0.25">
      <c r="B78" s="33"/>
      <c r="C78" s="47" t="s">
        <v>71</v>
      </c>
      <c r="D78" s="48"/>
      <c r="E78" s="48">
        <v>0</v>
      </c>
      <c r="F78" s="48">
        <v>0</v>
      </c>
      <c r="G78" s="48">
        <v>0</v>
      </c>
      <c r="H78" s="46">
        <f>F78*(1+مفروضات!$E$11)</f>
        <v>0</v>
      </c>
      <c r="I78" s="34"/>
    </row>
    <row r="79" spans="2:9" ht="30" customHeight="1" x14ac:dyDescent="0.25">
      <c r="B79" s="33"/>
      <c r="C79" s="44" t="s">
        <v>72</v>
      </c>
      <c r="D79" s="45"/>
      <c r="E79" s="45">
        <v>3251</v>
      </c>
      <c r="F79" s="45">
        <v>287</v>
      </c>
      <c r="G79" s="45">
        <v>1500</v>
      </c>
      <c r="H79" s="46">
        <f>(F79/درآمد!$F$41*درآمد!$H$41)*(1+مفروضات!$E$11)</f>
        <v>372.78378349959968</v>
      </c>
      <c r="I79" s="34"/>
    </row>
    <row r="80" spans="2:9" ht="30" customHeight="1" x14ac:dyDescent="0.25">
      <c r="B80" s="33"/>
      <c r="C80" s="47" t="s">
        <v>73</v>
      </c>
      <c r="D80" s="48"/>
      <c r="E80" s="48">
        <v>0</v>
      </c>
      <c r="F80" s="48">
        <v>0</v>
      </c>
      <c r="G80" s="48">
        <v>0</v>
      </c>
      <c r="H80" s="48">
        <f t="shared" ref="H80:H82" si="1">F80*1.45</f>
        <v>0</v>
      </c>
      <c r="I80" s="34"/>
    </row>
    <row r="81" spans="2:9" ht="30" customHeight="1" x14ac:dyDescent="0.25">
      <c r="B81" s="33"/>
      <c r="C81" s="44" t="s">
        <v>74</v>
      </c>
      <c r="D81" s="45"/>
      <c r="E81" s="45">
        <v>0</v>
      </c>
      <c r="F81" s="45">
        <v>0</v>
      </c>
      <c r="G81" s="45">
        <v>0</v>
      </c>
      <c r="H81" s="46">
        <f t="shared" si="1"/>
        <v>0</v>
      </c>
      <c r="I81" s="34"/>
    </row>
    <row r="82" spans="2:9" ht="30" customHeight="1" x14ac:dyDescent="0.25">
      <c r="B82" s="33"/>
      <c r="C82" s="47" t="s">
        <v>75</v>
      </c>
      <c r="D82" s="48"/>
      <c r="E82" s="48">
        <v>0</v>
      </c>
      <c r="F82" s="48">
        <v>0</v>
      </c>
      <c r="G82" s="48">
        <v>0</v>
      </c>
      <c r="H82" s="48">
        <f t="shared" si="1"/>
        <v>0</v>
      </c>
      <c r="I82" s="34"/>
    </row>
    <row r="83" spans="2:9" ht="30" customHeight="1" x14ac:dyDescent="0.25">
      <c r="B83" s="33"/>
      <c r="C83" s="44" t="s">
        <v>76</v>
      </c>
      <c r="D83" s="45"/>
      <c r="E83" s="45">
        <v>341099</v>
      </c>
      <c r="F83" s="45">
        <v>645953</v>
      </c>
      <c r="G83" s="45">
        <v>177806</v>
      </c>
      <c r="H83" s="46">
        <f>(F83/درآمد!$F$41*درآمد!$H$41)*(1+مفروضات!$E$11)</f>
        <v>839027.18920876982</v>
      </c>
      <c r="I83" s="34"/>
    </row>
    <row r="84" spans="2:9" ht="30" customHeight="1" x14ac:dyDescent="0.25">
      <c r="B84" s="33"/>
      <c r="C84" s="47" t="s">
        <v>77</v>
      </c>
      <c r="D84" s="48"/>
      <c r="E84" s="48">
        <v>721943</v>
      </c>
      <c r="F84" s="48">
        <v>1169323</v>
      </c>
      <c r="G84" s="48">
        <v>377375</v>
      </c>
      <c r="H84" s="46">
        <f>(F84/درآمد!$F$41*درآمد!$H$41)*(1+مفروضات!$E$11)</f>
        <v>1518831.5403243985</v>
      </c>
      <c r="I84" s="34"/>
    </row>
    <row r="85" spans="2:9" ht="30" customHeight="1" x14ac:dyDescent="0.25">
      <c r="B85" s="33"/>
      <c r="C85" s="50" t="s">
        <v>22</v>
      </c>
      <c r="D85" s="51"/>
      <c r="E85" s="51">
        <f>SUBTOTAL(109,'بهای تمام شده'!$E$75:$E$84)</f>
        <v>1341951</v>
      </c>
      <c r="F85" s="51">
        <f>SUBTOTAL(109,'بهای تمام شده'!$F$75:$F$84)</f>
        <v>2168046</v>
      </c>
      <c r="G85" s="51">
        <f>SUBTOTAL(109,'بهای تمام شده'!$G$75:$G$84)</f>
        <v>642140</v>
      </c>
      <c r="H85" s="51">
        <f>SUBTOTAL(109,'بهای تمام شده'!$H$75:$H$84)</f>
        <v>2816076.3814817127</v>
      </c>
      <c r="I85" s="34"/>
    </row>
    <row r="86" spans="2:9" ht="30" customHeight="1" x14ac:dyDescent="0.25">
      <c r="B86" s="35"/>
      <c r="C86" s="36"/>
      <c r="D86" s="36"/>
      <c r="E86" s="36"/>
      <c r="F86" s="36"/>
      <c r="G86" s="36"/>
      <c r="H86" s="36"/>
      <c r="I86" s="37"/>
    </row>
    <row r="88" spans="2:9" ht="30" customHeight="1" x14ac:dyDescent="0.25">
      <c r="B88" s="118" t="s">
        <v>25</v>
      </c>
      <c r="C88" s="119"/>
      <c r="D88" s="119"/>
      <c r="E88" s="42"/>
      <c r="F88" s="42"/>
      <c r="G88" s="42"/>
      <c r="H88" s="42"/>
      <c r="I88" s="43"/>
    </row>
    <row r="89" spans="2:9" ht="9.9499999999999993" customHeight="1" x14ac:dyDescent="0.25">
      <c r="B89" s="33"/>
      <c r="I89" s="34"/>
    </row>
    <row r="90" spans="2:9" ht="30" customHeight="1" x14ac:dyDescent="0.25">
      <c r="B90" s="33"/>
      <c r="C90" s="25" t="s">
        <v>1</v>
      </c>
      <c r="D90" s="25" t="s">
        <v>2</v>
      </c>
      <c r="E90" s="26">
        <v>1402</v>
      </c>
      <c r="F90" s="26">
        <v>1403</v>
      </c>
      <c r="G90" s="26" t="s">
        <v>66</v>
      </c>
      <c r="H90" s="26">
        <v>1404</v>
      </c>
      <c r="I90" s="34"/>
    </row>
    <row r="91" spans="2:9" ht="30" customHeight="1" x14ac:dyDescent="0.25">
      <c r="B91" s="33"/>
      <c r="C91" s="44" t="s">
        <v>78</v>
      </c>
      <c r="D91" s="45"/>
      <c r="E91" s="45">
        <v>2513744</v>
      </c>
      <c r="F91" s="45">
        <v>3243778</v>
      </c>
      <c r="G91" s="45">
        <v>805130</v>
      </c>
      <c r="H91" s="46">
        <f>H53</f>
        <v>4183937.3650340256</v>
      </c>
      <c r="I91" s="34"/>
    </row>
    <row r="92" spans="2:9" ht="30" customHeight="1" x14ac:dyDescent="0.25">
      <c r="B92" s="33"/>
      <c r="C92" s="47" t="s">
        <v>79</v>
      </c>
      <c r="D92" s="48"/>
      <c r="E92" s="48">
        <v>303200</v>
      </c>
      <c r="F92" s="48">
        <v>457056</v>
      </c>
      <c r="G92" s="48">
        <v>154450</v>
      </c>
      <c r="H92" s="49">
        <f>(F92/درآمد!F12*درآمد!H12)*(1+مفروضات!E11)</f>
        <v>457949.10263404401</v>
      </c>
      <c r="I92" s="34"/>
    </row>
    <row r="93" spans="2:9" ht="30" customHeight="1" x14ac:dyDescent="0.25">
      <c r="B93" s="33"/>
      <c r="C93" s="44" t="s">
        <v>80</v>
      </c>
      <c r="D93" s="45"/>
      <c r="E93" s="45">
        <v>5781387</v>
      </c>
      <c r="F93" s="45">
        <v>6786282</v>
      </c>
      <c r="G93" s="45">
        <v>2496986</v>
      </c>
      <c r="H93" s="46">
        <f>H69</f>
        <v>10626125.560211644</v>
      </c>
      <c r="I93" s="34"/>
    </row>
    <row r="94" spans="2:9" ht="30" customHeight="1" x14ac:dyDescent="0.25">
      <c r="B94" s="33"/>
      <c r="C94" s="47" t="s">
        <v>22</v>
      </c>
      <c r="D94" s="48"/>
      <c r="E94" s="48">
        <f>SUM(E91:E93)</f>
        <v>8598331</v>
      </c>
      <c r="F94" s="48">
        <f>SUM(F91:F93)</f>
        <v>10487116</v>
      </c>
      <c r="G94" s="48">
        <f>SUM(G91:G93)</f>
        <v>3456566</v>
      </c>
      <c r="H94" s="49">
        <f>SUM(H91:H93)</f>
        <v>15268012.027879713</v>
      </c>
      <c r="I94" s="34"/>
    </row>
    <row r="95" spans="2:9" ht="30" customHeight="1" x14ac:dyDescent="0.25">
      <c r="B95" s="33"/>
      <c r="C95" s="44" t="s">
        <v>81</v>
      </c>
      <c r="D95" s="45"/>
      <c r="E95" s="45">
        <v>0</v>
      </c>
      <c r="F95" s="45">
        <v>0</v>
      </c>
      <c r="G95" s="45">
        <v>0</v>
      </c>
      <c r="H95" s="45">
        <v>0</v>
      </c>
      <c r="I95" s="34"/>
    </row>
    <row r="96" spans="2:9" ht="30" customHeight="1" x14ac:dyDescent="0.25">
      <c r="B96" s="33"/>
      <c r="C96" s="47" t="s">
        <v>82</v>
      </c>
      <c r="D96" s="48"/>
      <c r="E96" s="48">
        <f>SUM(E94:E95)</f>
        <v>8598331</v>
      </c>
      <c r="F96" s="48">
        <f t="shared" ref="F96" si="2">SUM(F94:F95)</f>
        <v>10487116</v>
      </c>
      <c r="G96" s="48">
        <f>SUM(G94:G95)</f>
        <v>3456566</v>
      </c>
      <c r="H96" s="49">
        <f>H94+H95</f>
        <v>15268012.027879713</v>
      </c>
      <c r="I96" s="34"/>
    </row>
    <row r="97" spans="2:10" ht="30" customHeight="1" x14ac:dyDescent="0.25">
      <c r="B97" s="33"/>
      <c r="C97" s="44" t="s">
        <v>83</v>
      </c>
      <c r="D97" s="45"/>
      <c r="E97" s="45">
        <v>-1881024</v>
      </c>
      <c r="F97" s="45">
        <v>-891731</v>
      </c>
      <c r="G97" s="45">
        <v>-61574</v>
      </c>
      <c r="H97" s="46">
        <v>0</v>
      </c>
      <c r="I97" s="34"/>
    </row>
    <row r="98" spans="2:10" ht="30" customHeight="1" x14ac:dyDescent="0.25">
      <c r="B98" s="33"/>
      <c r="C98" s="47" t="s">
        <v>84</v>
      </c>
      <c r="D98" s="48"/>
      <c r="E98" s="48">
        <v>0</v>
      </c>
      <c r="F98" s="48">
        <v>0</v>
      </c>
      <c r="G98" s="48">
        <v>0</v>
      </c>
      <c r="H98" s="48">
        <v>0</v>
      </c>
      <c r="I98" s="34"/>
    </row>
    <row r="99" spans="2:10" ht="30" customHeight="1" x14ac:dyDescent="0.25">
      <c r="B99" s="33"/>
      <c r="C99" s="44" t="s">
        <v>85</v>
      </c>
      <c r="D99" s="45"/>
      <c r="E99" s="45">
        <f>SUM(E96:E98)</f>
        <v>6717307</v>
      </c>
      <c r="F99" s="45">
        <f t="shared" ref="F99:G99" si="3">SUM(F96:F98)</f>
        <v>9595385</v>
      </c>
      <c r="G99" s="45">
        <f t="shared" si="3"/>
        <v>3394992</v>
      </c>
      <c r="H99" s="46">
        <f>H96+H97+H98</f>
        <v>15268012.027879713</v>
      </c>
      <c r="I99" s="34"/>
    </row>
    <row r="100" spans="2:10" ht="30" customHeight="1" x14ac:dyDescent="0.25">
      <c r="B100" s="33"/>
      <c r="C100" s="47" t="s">
        <v>86</v>
      </c>
      <c r="D100" s="48"/>
      <c r="E100" s="48">
        <v>70401</v>
      </c>
      <c r="F100" s="48">
        <v>115834</v>
      </c>
      <c r="G100" s="48">
        <v>119671</v>
      </c>
      <c r="H100" s="49">
        <v>119671</v>
      </c>
      <c r="I100" s="34"/>
      <c r="J100" s="1" t="s">
        <v>136</v>
      </c>
    </row>
    <row r="101" spans="2:10" ht="30" customHeight="1" x14ac:dyDescent="0.25">
      <c r="B101" s="33"/>
      <c r="C101" s="44" t="s">
        <v>87</v>
      </c>
      <c r="D101" s="45"/>
      <c r="E101" s="45">
        <v>-115834</v>
      </c>
      <c r="F101" s="45">
        <v>-119671</v>
      </c>
      <c r="G101" s="45">
        <v>-41523</v>
      </c>
      <c r="H101" s="46">
        <v>-518150</v>
      </c>
      <c r="I101" s="34"/>
      <c r="J101" s="1" t="s">
        <v>135</v>
      </c>
    </row>
    <row r="102" spans="2:10" ht="30" customHeight="1" x14ac:dyDescent="0.25">
      <c r="B102" s="33"/>
      <c r="C102" s="47" t="s">
        <v>88</v>
      </c>
      <c r="D102" s="48"/>
      <c r="E102" s="48">
        <f>SUM(E99:E101)</f>
        <v>6671874</v>
      </c>
      <c r="F102" s="48">
        <f t="shared" ref="F102:G102" si="4">SUM(F99:F101)</f>
        <v>9591548</v>
      </c>
      <c r="G102" s="48">
        <f t="shared" si="4"/>
        <v>3473140</v>
      </c>
      <c r="H102" s="49">
        <f>H99+H100+H101</f>
        <v>14869533.027879713</v>
      </c>
      <c r="I102" s="34"/>
    </row>
    <row r="103" spans="2:10" ht="30" customHeight="1" x14ac:dyDescent="0.25">
      <c r="B103" s="33"/>
      <c r="C103" s="44" t="s">
        <v>89</v>
      </c>
      <c r="D103" s="45"/>
      <c r="E103" s="45">
        <v>0</v>
      </c>
      <c r="F103" s="45">
        <v>0</v>
      </c>
      <c r="G103" s="45">
        <v>0</v>
      </c>
      <c r="H103" s="45">
        <v>0</v>
      </c>
      <c r="I103" s="34"/>
    </row>
    <row r="104" spans="2:10" ht="30" customHeight="1" x14ac:dyDescent="0.25">
      <c r="B104" s="33"/>
      <c r="C104" s="50" t="s">
        <v>22</v>
      </c>
      <c r="D104" s="51"/>
      <c r="E104" s="51">
        <f>E102+E103</f>
        <v>6671874</v>
      </c>
      <c r="F104" s="51">
        <f>F102+F103</f>
        <v>9591548</v>
      </c>
      <c r="G104" s="51">
        <f>G102+G103</f>
        <v>3473140</v>
      </c>
      <c r="H104" s="51">
        <f>H102+H103</f>
        <v>14869533.027879713</v>
      </c>
      <c r="I104" s="34"/>
    </row>
    <row r="105" spans="2:10" ht="30" customHeight="1" x14ac:dyDescent="0.25">
      <c r="B105" s="35"/>
      <c r="C105" s="36"/>
      <c r="D105" s="36"/>
      <c r="E105" s="36"/>
      <c r="F105" s="36"/>
      <c r="G105" s="36"/>
      <c r="H105" s="36"/>
      <c r="I105" s="37"/>
    </row>
  </sheetData>
  <mergeCells count="8">
    <mergeCell ref="B56:D56"/>
    <mergeCell ref="B72:D72"/>
    <mergeCell ref="B88:D88"/>
    <mergeCell ref="B2:D2"/>
    <mergeCell ref="B16:D16"/>
    <mergeCell ref="B25:D25"/>
    <mergeCell ref="B35:D35"/>
    <mergeCell ref="B45:D4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18938-AF36-405F-AA22-C9325F4C8AC4}">
  <dimension ref="B2:N36"/>
  <sheetViews>
    <sheetView showGridLines="0" rightToLeft="1" topLeftCell="A19" workbookViewId="0">
      <selection activeCell="H26" sqref="H26"/>
    </sheetView>
  </sheetViews>
  <sheetFormatPr defaultColWidth="15.7109375" defaultRowHeight="30" customHeight="1" x14ac:dyDescent="0.25"/>
  <cols>
    <col min="1" max="2" width="5.7109375" style="1" customWidth="1"/>
    <col min="3" max="4" width="11" style="1" customWidth="1"/>
    <col min="5" max="8" width="15.7109375" style="1" customWidth="1"/>
    <col min="9" max="9" width="5.7109375" style="1" customWidth="1"/>
    <col min="10" max="16384" width="15.7109375" style="1"/>
  </cols>
  <sheetData>
    <row r="2" spans="2:14" ht="30" customHeight="1" x14ac:dyDescent="0.25">
      <c r="B2" s="118" t="s">
        <v>55</v>
      </c>
      <c r="C2" s="119"/>
      <c r="D2" s="119"/>
      <c r="E2" s="42"/>
      <c r="F2" s="42"/>
      <c r="G2" s="42"/>
      <c r="H2" s="42"/>
      <c r="I2" s="43"/>
    </row>
    <row r="3" spans="2:14" ht="9.9499999999999993" customHeight="1" x14ac:dyDescent="0.25">
      <c r="B3" s="33"/>
      <c r="I3" s="34"/>
    </row>
    <row r="4" spans="2:14" ht="30" customHeight="1" x14ac:dyDescent="0.25">
      <c r="B4" s="33"/>
      <c r="C4" s="25" t="s">
        <v>1</v>
      </c>
      <c r="D4" s="25" t="s">
        <v>2</v>
      </c>
      <c r="E4" s="26">
        <v>1402</v>
      </c>
      <c r="F4" s="26">
        <v>1403</v>
      </c>
      <c r="G4" s="26" t="s">
        <v>66</v>
      </c>
      <c r="H4" s="26">
        <v>1404</v>
      </c>
      <c r="I4" s="34"/>
    </row>
    <row r="5" spans="2:14" ht="30" customHeight="1" x14ac:dyDescent="0.25">
      <c r="B5" s="33"/>
      <c r="C5" s="103" t="s">
        <v>57</v>
      </c>
      <c r="D5" s="45" t="s">
        <v>128</v>
      </c>
      <c r="E5" s="45">
        <v>149403194</v>
      </c>
      <c r="F5" s="45">
        <v>125607404</v>
      </c>
      <c r="G5" s="45">
        <v>3959246</v>
      </c>
      <c r="H5" s="46">
        <f>H16*$H$9</f>
        <v>124625201.62965627</v>
      </c>
      <c r="I5" s="34"/>
    </row>
    <row r="6" spans="2:14" ht="30" customHeight="1" x14ac:dyDescent="0.25">
      <c r="B6" s="33"/>
      <c r="C6" s="44" t="s">
        <v>129</v>
      </c>
      <c r="D6" s="45" t="s">
        <v>130</v>
      </c>
      <c r="E6" s="45">
        <v>118244</v>
      </c>
      <c r="F6" s="45">
        <v>111645</v>
      </c>
      <c r="G6" s="45">
        <v>27489</v>
      </c>
      <c r="H6" s="46">
        <f>H17*$H$10</f>
        <v>110771.97834566323</v>
      </c>
      <c r="I6" s="34"/>
    </row>
    <row r="7" spans="2:14" ht="30" customHeight="1" x14ac:dyDescent="0.25">
      <c r="B7" s="33"/>
      <c r="C7" s="47" t="s">
        <v>97</v>
      </c>
      <c r="D7" s="48" t="s">
        <v>128</v>
      </c>
      <c r="E7" s="48">
        <v>10957</v>
      </c>
      <c r="F7" s="48">
        <v>24249</v>
      </c>
      <c r="G7" s="48">
        <v>28062</v>
      </c>
      <c r="H7" s="46">
        <f>H18*$H$9</f>
        <v>24059.381995646807</v>
      </c>
      <c r="I7" s="34"/>
    </row>
    <row r="8" spans="2:14" ht="5.0999999999999996" customHeight="1" x14ac:dyDescent="0.25">
      <c r="B8" s="33"/>
      <c r="I8" s="34"/>
    </row>
    <row r="9" spans="2:14" ht="30" customHeight="1" x14ac:dyDescent="0.25">
      <c r="B9" s="33"/>
      <c r="C9" s="38" t="s">
        <v>95</v>
      </c>
      <c r="D9" s="38"/>
      <c r="E9" s="38">
        <f>درآمد!E13</f>
        <v>1666136</v>
      </c>
      <c r="F9" s="38">
        <f>درآمد!F13</f>
        <v>1612610</v>
      </c>
      <c r="G9" s="38">
        <f>درآمد!G13</f>
        <v>358731</v>
      </c>
      <c r="H9" s="38">
        <f>درآمد!H13</f>
        <v>1600000</v>
      </c>
      <c r="I9" s="34"/>
    </row>
    <row r="10" spans="2:14" ht="30" customHeight="1" x14ac:dyDescent="0.25">
      <c r="B10" s="33"/>
      <c r="C10" s="38" t="s">
        <v>94</v>
      </c>
      <c r="D10" s="38"/>
      <c r="E10" s="38">
        <f>درآمد!E11</f>
        <v>411129</v>
      </c>
      <c r="F10" s="38">
        <f>درآمد!F11</f>
        <v>433933</v>
      </c>
      <c r="G10" s="38">
        <f>درآمد!G11</f>
        <v>147807</v>
      </c>
      <c r="H10" s="38">
        <f>درآمد!H11</f>
        <v>430539.80813711928</v>
      </c>
      <c r="I10" s="34"/>
      <c r="K10" s="84"/>
      <c r="L10" s="84"/>
      <c r="M10" s="84"/>
      <c r="N10" s="84"/>
    </row>
    <row r="11" spans="2:14" ht="30" customHeight="1" x14ac:dyDescent="0.25">
      <c r="B11" s="35"/>
      <c r="C11" s="36"/>
      <c r="D11" s="36"/>
      <c r="E11" s="36"/>
      <c r="F11" s="36"/>
      <c r="G11" s="36"/>
      <c r="H11" s="36"/>
      <c r="I11" s="37"/>
    </row>
    <row r="13" spans="2:14" ht="30" customHeight="1" x14ac:dyDescent="0.25">
      <c r="B13" s="118" t="s">
        <v>105</v>
      </c>
      <c r="C13" s="119"/>
      <c r="D13" s="119"/>
      <c r="E13" s="42"/>
      <c r="F13" s="42"/>
      <c r="G13" s="42"/>
      <c r="H13" s="42"/>
      <c r="I13" s="43"/>
    </row>
    <row r="14" spans="2:14" ht="9.9499999999999993" customHeight="1" x14ac:dyDescent="0.25">
      <c r="B14" s="33"/>
      <c r="I14" s="34"/>
    </row>
    <row r="15" spans="2:14" ht="30" customHeight="1" x14ac:dyDescent="0.25">
      <c r="B15" s="33"/>
      <c r="C15" s="25" t="s">
        <v>1</v>
      </c>
      <c r="D15" s="25" t="s">
        <v>2</v>
      </c>
      <c r="E15" s="26">
        <v>1402</v>
      </c>
      <c r="F15" s="26">
        <v>1403</v>
      </c>
      <c r="G15" s="26" t="s">
        <v>66</v>
      </c>
      <c r="H15" s="26">
        <v>1404</v>
      </c>
      <c r="I15" s="34"/>
    </row>
    <row r="16" spans="2:14" ht="30" customHeight="1" x14ac:dyDescent="0.25">
      <c r="B16" s="33"/>
      <c r="C16" s="44" t="s">
        <v>57</v>
      </c>
      <c r="D16" s="45"/>
      <c r="E16" s="90">
        <f>E5/$E$9</f>
        <v>89.670467476844621</v>
      </c>
      <c r="F16" s="90">
        <f>F5/$F$9</f>
        <v>77.89075101853517</v>
      </c>
      <c r="G16" s="90">
        <f>G5/$G$9</f>
        <v>11.03681031190502</v>
      </c>
      <c r="H16" s="91">
        <v>77.89075101853517</v>
      </c>
      <c r="I16" s="34"/>
    </row>
    <row r="17" spans="2:9" ht="30" customHeight="1" x14ac:dyDescent="0.25">
      <c r="B17" s="33"/>
      <c r="C17" s="44" t="s">
        <v>129</v>
      </c>
      <c r="D17" s="45"/>
      <c r="E17" s="90">
        <f>E6/E10</f>
        <v>0.28760802570482746</v>
      </c>
      <c r="F17" s="90">
        <f>F6/F10</f>
        <v>0.25728626308669772</v>
      </c>
      <c r="G17" s="90">
        <f>G6/G10</f>
        <v>0.18597901317258317</v>
      </c>
      <c r="H17" s="91">
        <v>0.25728626308669772</v>
      </c>
      <c r="I17" s="34"/>
    </row>
    <row r="18" spans="2:9" ht="30" customHeight="1" x14ac:dyDescent="0.25">
      <c r="B18" s="33"/>
      <c r="C18" s="44" t="s">
        <v>97</v>
      </c>
      <c r="D18" s="44"/>
      <c r="E18" s="90">
        <f>E7/$E$9</f>
        <v>6.5762938919752051E-3</v>
      </c>
      <c r="F18" s="90">
        <f>F7/$F$9</f>
        <v>1.5037113747279255E-2</v>
      </c>
      <c r="G18" s="90">
        <f>G7/$G$9</f>
        <v>7.8225745753782078E-2</v>
      </c>
      <c r="H18" s="91">
        <v>1.5037113747279255E-2</v>
      </c>
      <c r="I18" s="34"/>
    </row>
    <row r="19" spans="2:9" ht="30" customHeight="1" x14ac:dyDescent="0.25">
      <c r="B19" s="35"/>
      <c r="C19" s="36"/>
      <c r="D19" s="36"/>
      <c r="E19" s="36"/>
      <c r="F19" s="36"/>
      <c r="G19" s="36"/>
      <c r="H19" s="36"/>
      <c r="I19" s="37"/>
    </row>
    <row r="21" spans="2:9" ht="30" customHeight="1" x14ac:dyDescent="0.25">
      <c r="B21" s="118" t="s">
        <v>56</v>
      </c>
      <c r="C21" s="119"/>
      <c r="D21" s="119"/>
      <c r="E21" s="42"/>
      <c r="F21" s="42"/>
      <c r="G21" s="42"/>
      <c r="H21" s="42"/>
      <c r="I21" s="43"/>
    </row>
    <row r="22" spans="2:9" ht="9.9499999999999993" customHeight="1" x14ac:dyDescent="0.25">
      <c r="B22" s="33"/>
      <c r="I22" s="34"/>
    </row>
    <row r="23" spans="2:9" ht="30" customHeight="1" x14ac:dyDescent="0.25">
      <c r="B23" s="33"/>
      <c r="C23" s="25" t="s">
        <v>1</v>
      </c>
      <c r="D23" s="25" t="s">
        <v>2</v>
      </c>
      <c r="E23" s="26">
        <v>1402</v>
      </c>
      <c r="F23" s="26">
        <v>1403</v>
      </c>
      <c r="G23" s="26" t="s">
        <v>66</v>
      </c>
      <c r="H23" s="26">
        <v>1404</v>
      </c>
      <c r="I23" s="34"/>
    </row>
    <row r="24" spans="2:9" ht="30" customHeight="1" x14ac:dyDescent="0.25">
      <c r="B24" s="33"/>
      <c r="C24" s="44" t="s">
        <v>57</v>
      </c>
      <c r="D24" s="45"/>
      <c r="E24" s="48">
        <f>E32/E5*1000000</f>
        <v>10740.781083970669</v>
      </c>
      <c r="F24" s="48">
        <v>9871</v>
      </c>
      <c r="G24" s="48">
        <v>23814</v>
      </c>
      <c r="H24" s="48">
        <f>G24*(1+مفروضات!$E$11)</f>
        <v>30958.2</v>
      </c>
      <c r="I24" s="34"/>
    </row>
    <row r="25" spans="2:9" ht="30" customHeight="1" x14ac:dyDescent="0.25">
      <c r="B25" s="33"/>
      <c r="C25" s="47" t="s">
        <v>129</v>
      </c>
      <c r="D25" s="48"/>
      <c r="E25" s="48">
        <f>E33/E6*1000000</f>
        <v>1475575.927742634</v>
      </c>
      <c r="F25" s="48">
        <v>3260773</v>
      </c>
      <c r="G25" s="48">
        <v>4502601</v>
      </c>
      <c r="H25" s="48">
        <f>G25*(1+مفروضات!$E$11)</f>
        <v>5853381.2999999998</v>
      </c>
      <c r="I25" s="34"/>
    </row>
    <row r="26" spans="2:9" ht="30" customHeight="1" x14ac:dyDescent="0.25">
      <c r="B26" s="33"/>
      <c r="C26" s="55" t="s">
        <v>97</v>
      </c>
      <c r="D26" s="56"/>
      <c r="E26" s="48">
        <f>E34/E7*1000000</f>
        <v>11426120.28840011</v>
      </c>
      <c r="F26" s="48">
        <v>21313786</v>
      </c>
      <c r="G26" s="48">
        <v>35389922</v>
      </c>
      <c r="H26" s="48">
        <f>G26*(1+مفروضات!$E$11)</f>
        <v>46006898.600000001</v>
      </c>
      <c r="I26" s="34"/>
    </row>
    <row r="27" spans="2:9" ht="30" customHeight="1" x14ac:dyDescent="0.25">
      <c r="B27" s="35"/>
      <c r="C27" s="36"/>
      <c r="D27" s="36"/>
      <c r="E27" s="36"/>
      <c r="F27" s="36"/>
      <c r="G27" s="36"/>
      <c r="H27" s="36"/>
      <c r="I27" s="37"/>
    </row>
    <row r="29" spans="2:9" ht="30" customHeight="1" x14ac:dyDescent="0.25">
      <c r="B29" s="118" t="s">
        <v>58</v>
      </c>
      <c r="C29" s="119"/>
      <c r="D29" s="119"/>
      <c r="E29" s="42"/>
      <c r="F29" s="42"/>
      <c r="G29" s="42"/>
      <c r="H29" s="42"/>
      <c r="I29" s="43"/>
    </row>
    <row r="30" spans="2:9" ht="9.9499999999999993" customHeight="1" x14ac:dyDescent="0.25">
      <c r="B30" s="33"/>
      <c r="I30" s="34"/>
    </row>
    <row r="31" spans="2:9" ht="30" customHeight="1" x14ac:dyDescent="0.25">
      <c r="B31" s="33"/>
      <c r="C31" s="25" t="s">
        <v>1</v>
      </c>
      <c r="D31" s="25" t="s">
        <v>2</v>
      </c>
      <c r="E31" s="26">
        <v>1402</v>
      </c>
      <c r="F31" s="26">
        <v>1403</v>
      </c>
      <c r="G31" s="26" t="s">
        <v>66</v>
      </c>
      <c r="H31" s="26">
        <v>1404</v>
      </c>
      <c r="I31" s="34"/>
    </row>
    <row r="32" spans="2:9" ht="30" customHeight="1" x14ac:dyDescent="0.25">
      <c r="B32" s="33"/>
      <c r="C32" s="44" t="s">
        <v>57</v>
      </c>
      <c r="D32" s="45"/>
      <c r="E32" s="48">
        <v>1604707</v>
      </c>
      <c r="F32" s="48">
        <v>1239931</v>
      </c>
      <c r="G32" s="48">
        <v>94285</v>
      </c>
      <c r="H32" s="48">
        <f>H5*H24/1000000</f>
        <v>3858171.9170912248</v>
      </c>
      <c r="I32" s="34"/>
    </row>
    <row r="33" spans="2:9" ht="30" customHeight="1" x14ac:dyDescent="0.25">
      <c r="B33" s="33"/>
      <c r="C33" s="47" t="s">
        <v>129</v>
      </c>
      <c r="D33" s="48"/>
      <c r="E33" s="48">
        <v>174478</v>
      </c>
      <c r="F33" s="48">
        <v>364049</v>
      </c>
      <c r="G33" s="48">
        <v>123772</v>
      </c>
      <c r="H33" s="48">
        <f>H6*H25/1000000</f>
        <v>648390.62661251007</v>
      </c>
      <c r="I33" s="34"/>
    </row>
    <row r="34" spans="2:9" ht="30" customHeight="1" x14ac:dyDescent="0.25">
      <c r="B34" s="33"/>
      <c r="C34" s="55" t="s">
        <v>97</v>
      </c>
      <c r="D34" s="56"/>
      <c r="E34" s="48">
        <v>125196</v>
      </c>
      <c r="F34" s="48">
        <v>516838</v>
      </c>
      <c r="G34" s="48">
        <v>993112</v>
      </c>
      <c r="H34" s="48">
        <f>H7*H26/1000000</f>
        <v>1106897.5478523884</v>
      </c>
      <c r="I34" s="34"/>
    </row>
    <row r="35" spans="2:9" ht="30" customHeight="1" x14ac:dyDescent="0.25">
      <c r="B35" s="33"/>
      <c r="C35" s="38" t="s">
        <v>22</v>
      </c>
      <c r="D35" s="38"/>
      <c r="E35" s="38">
        <f>SUM(E32:E34)</f>
        <v>1904381</v>
      </c>
      <c r="F35" s="38">
        <f t="shared" ref="F35:G35" si="0">SUM(F32:F34)</f>
        <v>2120818</v>
      </c>
      <c r="G35" s="38">
        <f t="shared" si="0"/>
        <v>1211169</v>
      </c>
      <c r="H35" s="38">
        <f>SUM(H32:H34)</f>
        <v>5613460.0915561235</v>
      </c>
      <c r="I35" s="34"/>
    </row>
    <row r="36" spans="2:9" ht="30" customHeight="1" x14ac:dyDescent="0.25">
      <c r="B36" s="35"/>
      <c r="C36" s="36"/>
      <c r="D36" s="36"/>
      <c r="E36" s="36"/>
      <c r="F36" s="36"/>
      <c r="G36" s="36"/>
      <c r="H36" s="36"/>
      <c r="I36" s="37"/>
    </row>
  </sheetData>
  <mergeCells count="4">
    <mergeCell ref="B2:D2"/>
    <mergeCell ref="B21:D21"/>
    <mergeCell ref="B13:D13"/>
    <mergeCell ref="B29:D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D10DD-2303-42D5-8C4C-F5C68BFCD608}">
  <dimension ref="B2:L21"/>
  <sheetViews>
    <sheetView showGridLines="0" rightToLeft="1" zoomScaleNormal="100" workbookViewId="0">
      <selection activeCell="H16" sqref="H15:H16"/>
    </sheetView>
  </sheetViews>
  <sheetFormatPr defaultRowHeight="30" customHeight="1" x14ac:dyDescent="0.25"/>
  <cols>
    <col min="1" max="1" width="5.7109375" style="1" customWidth="1"/>
    <col min="2" max="2" width="50.7109375" style="1" customWidth="1"/>
    <col min="3" max="6" width="20.7109375" style="1" customWidth="1"/>
    <col min="7" max="16384" width="9.140625" style="1"/>
  </cols>
  <sheetData>
    <row r="2" spans="2:12" ht="42" customHeight="1" x14ac:dyDescent="0.25">
      <c r="B2" s="22" t="s">
        <v>1</v>
      </c>
      <c r="C2" s="22" t="s">
        <v>124</v>
      </c>
      <c r="D2" s="22" t="s">
        <v>125</v>
      </c>
      <c r="E2" s="22" t="s">
        <v>126</v>
      </c>
      <c r="F2" s="22" t="s">
        <v>127</v>
      </c>
    </row>
    <row r="3" spans="2:12" ht="35.1" customHeight="1" x14ac:dyDescent="0.25">
      <c r="B3" s="62" t="s">
        <v>26</v>
      </c>
      <c r="C3" s="63">
        <f>درآمد!E108</f>
        <v>14911613</v>
      </c>
      <c r="D3" s="63">
        <f>درآمد!F108</f>
        <v>19375664</v>
      </c>
      <c r="E3" s="63">
        <f>درآمد!G108</f>
        <v>7184541</v>
      </c>
      <c r="F3" s="63">
        <f>درآمد!H108</f>
        <v>28995692.106114749</v>
      </c>
    </row>
    <row r="4" spans="2:12" ht="35.1" customHeight="1" x14ac:dyDescent="0.25">
      <c r="B4" s="65" t="s">
        <v>27</v>
      </c>
      <c r="C4" s="66">
        <f>-'بهای تمام شده'!E104</f>
        <v>-6671874</v>
      </c>
      <c r="D4" s="66">
        <f>-'بهای تمام شده'!F104</f>
        <v>-9591548</v>
      </c>
      <c r="E4" s="66">
        <f>-'بهای تمام شده'!G104</f>
        <v>-3473140</v>
      </c>
      <c r="F4" s="66">
        <f>-'بهای تمام شده'!H104</f>
        <v>-14869533.027879713</v>
      </c>
    </row>
    <row r="5" spans="2:12" ht="35.1" customHeight="1" x14ac:dyDescent="0.25">
      <c r="B5" s="68" t="s">
        <v>28</v>
      </c>
      <c r="C5" s="69">
        <f>SUBTOTAL(109,'سود و زیان'!$C$3:$C$4)</f>
        <v>8239739</v>
      </c>
      <c r="D5" s="69">
        <f>SUBTOTAL(109,'سود و زیان'!$D$3:$D$4)</f>
        <v>9784116</v>
      </c>
      <c r="E5" s="69">
        <f>SUBTOTAL(109,'سود و زیان'!$E$3:$E$4)</f>
        <v>3711401</v>
      </c>
      <c r="F5" s="69">
        <f>SUBTOTAL(109,'سود و زیان'!$F$3:$F$4)</f>
        <v>14126159.078235036</v>
      </c>
      <c r="H5" s="84">
        <f>C5/C3</f>
        <v>0.55257194510077479</v>
      </c>
      <c r="I5" s="84">
        <f t="shared" ref="I5:L5" si="0">D5/D3</f>
        <v>0.50496932647056636</v>
      </c>
      <c r="J5" s="84">
        <f t="shared" si="0"/>
        <v>0.51658150465005348</v>
      </c>
      <c r="K5" s="84">
        <f t="shared" si="0"/>
        <v>0.48718130357219663</v>
      </c>
      <c r="L5" s="84" t="e">
        <f t="shared" si="0"/>
        <v>#DIV/0!</v>
      </c>
    </row>
    <row r="6" spans="2:12" ht="35.1" customHeight="1" x14ac:dyDescent="0.25">
      <c r="B6" s="62" t="s">
        <v>29</v>
      </c>
      <c r="C6" s="63">
        <f>-'بهای تمام شده'!E85</f>
        <v>-1341951</v>
      </c>
      <c r="D6" s="63">
        <f>-'بهای تمام شده'!F85</f>
        <v>-2168046</v>
      </c>
      <c r="E6" s="63">
        <f>-'بهای تمام شده'!G85</f>
        <v>-642140</v>
      </c>
      <c r="F6" s="63">
        <f>-'بهای تمام شده'!H85</f>
        <v>-2816076.3814817127</v>
      </c>
    </row>
    <row r="7" spans="2:12" ht="35.1" customHeight="1" x14ac:dyDescent="0.25">
      <c r="B7" s="65" t="s">
        <v>30</v>
      </c>
      <c r="C7" s="71">
        <v>0</v>
      </c>
      <c r="D7" s="71">
        <v>0</v>
      </c>
      <c r="E7" s="71">
        <v>0</v>
      </c>
      <c r="F7" s="67">
        <v>0</v>
      </c>
    </row>
    <row r="8" spans="2:12" ht="35.1" customHeight="1" x14ac:dyDescent="0.25">
      <c r="B8" s="62" t="s">
        <v>31</v>
      </c>
      <c r="C8" s="72">
        <v>479557</v>
      </c>
      <c r="D8" s="72">
        <v>952428</v>
      </c>
      <c r="E8" s="72">
        <v>0</v>
      </c>
      <c r="F8" s="64">
        <v>0</v>
      </c>
    </row>
    <row r="9" spans="2:12" ht="35.1" customHeight="1" x14ac:dyDescent="0.25">
      <c r="B9" s="65" t="s">
        <v>32</v>
      </c>
      <c r="C9" s="71">
        <v>-120218</v>
      </c>
      <c r="D9" s="71">
        <v>-186131</v>
      </c>
      <c r="E9" s="71">
        <v>0</v>
      </c>
      <c r="F9" s="67">
        <v>0</v>
      </c>
    </row>
    <row r="10" spans="2:12" ht="35.1" customHeight="1" x14ac:dyDescent="0.25">
      <c r="B10" s="73" t="s">
        <v>33</v>
      </c>
      <c r="C10" s="69">
        <f>C5+SUBTOTAL(109,'سود و زیان'!$C$6:$C$9)</f>
        <v>7257127</v>
      </c>
      <c r="D10" s="69">
        <f>D5+SUBTOTAL(109,'سود و زیان'!$D$6:$D$9)</f>
        <v>8382367</v>
      </c>
      <c r="E10" s="69">
        <f>E5+SUBTOTAL(109,'سود و زیان'!$E$6:$E$9)</f>
        <v>3069261</v>
      </c>
      <c r="F10" s="69">
        <f>F5+SUBTOTAL(109,'سود و زیان'!$F$6:$F$9)</f>
        <v>11310082.696753323</v>
      </c>
    </row>
    <row r="11" spans="2:12" ht="35.1" customHeight="1" x14ac:dyDescent="0.25">
      <c r="B11" s="62" t="s">
        <v>34</v>
      </c>
      <c r="C11" s="72">
        <v>-409671</v>
      </c>
      <c r="D11" s="72">
        <v>-361525</v>
      </c>
      <c r="E11" s="63">
        <v>-125291</v>
      </c>
      <c r="F11" s="64">
        <v>-542961</v>
      </c>
      <c r="G11" s="1" t="s">
        <v>137</v>
      </c>
    </row>
    <row r="12" spans="2:12" ht="35.1" customHeight="1" x14ac:dyDescent="0.25">
      <c r="B12" s="65" t="s">
        <v>35</v>
      </c>
      <c r="C12" s="71">
        <v>316723</v>
      </c>
      <c r="D12" s="71">
        <v>66092</v>
      </c>
      <c r="E12" s="71">
        <v>52604</v>
      </c>
      <c r="F12" s="67">
        <v>381216</v>
      </c>
      <c r="G12" s="1" t="s">
        <v>137</v>
      </c>
    </row>
    <row r="13" spans="2:12" ht="35.1" customHeight="1" x14ac:dyDescent="0.25">
      <c r="B13" s="62" t="s">
        <v>36</v>
      </c>
      <c r="C13" s="63">
        <v>0</v>
      </c>
      <c r="D13" s="63">
        <v>0</v>
      </c>
      <c r="E13" s="63">
        <v>0</v>
      </c>
      <c r="F13" s="64">
        <v>0</v>
      </c>
    </row>
    <row r="14" spans="2:12" ht="35.1" customHeight="1" x14ac:dyDescent="0.25">
      <c r="B14" s="68" t="s">
        <v>37</v>
      </c>
      <c r="C14" s="69">
        <f>'سود و زیان'!$C$10+SUBTOTAL(109,'سود و زیان'!$C$11:$C$13)</f>
        <v>7164179</v>
      </c>
      <c r="D14" s="69">
        <f>'سود و زیان'!$D$10+SUBTOTAL(109,'سود و زیان'!$D$11:$D$13)</f>
        <v>8086934</v>
      </c>
      <c r="E14" s="69">
        <f>'سود و زیان'!$E$10+SUBTOTAL(109,'سود و زیان'!$E$11:$E$13)</f>
        <v>2996574</v>
      </c>
      <c r="F14" s="70">
        <f>'سود و زیان'!$F$10+SUBTOTAL(109,'سود و زیان'!$F$11:$F$13)</f>
        <v>11148337.696753323</v>
      </c>
    </row>
    <row r="15" spans="2:12" ht="35.1" customHeight="1" x14ac:dyDescent="0.25">
      <c r="B15" s="62" t="s">
        <v>38</v>
      </c>
      <c r="C15" s="72"/>
      <c r="D15" s="72"/>
      <c r="E15" s="72"/>
      <c r="F15" s="64"/>
    </row>
    <row r="16" spans="2:12" ht="35.1" customHeight="1" x14ac:dyDescent="0.25">
      <c r="B16" s="65" t="s">
        <v>39</v>
      </c>
      <c r="C16" s="71">
        <v>0</v>
      </c>
      <c r="D16" s="71">
        <v>0</v>
      </c>
      <c r="E16" s="71">
        <v>0</v>
      </c>
      <c r="F16" s="74">
        <v>0</v>
      </c>
      <c r="H16" s="84"/>
      <c r="I16" s="84"/>
      <c r="J16" s="84"/>
    </row>
    <row r="17" spans="2:6" ht="35.1" customHeight="1" x14ac:dyDescent="0.25">
      <c r="B17" s="62" t="s">
        <v>40</v>
      </c>
      <c r="C17" s="72">
        <v>0</v>
      </c>
      <c r="D17" s="72">
        <v>0</v>
      </c>
      <c r="E17" s="72">
        <v>0</v>
      </c>
      <c r="F17" s="64">
        <v>0</v>
      </c>
    </row>
    <row r="18" spans="2:6" ht="35.1" customHeight="1" x14ac:dyDescent="0.25">
      <c r="B18" s="68" t="s">
        <v>41</v>
      </c>
      <c r="C18" s="69">
        <f>C14</f>
        <v>7164179</v>
      </c>
      <c r="D18" s="69">
        <f t="shared" ref="D18:F18" si="1">D14</f>
        <v>8086934</v>
      </c>
      <c r="E18" s="69">
        <f t="shared" si="1"/>
        <v>2996574</v>
      </c>
      <c r="F18" s="69">
        <f t="shared" si="1"/>
        <v>11148337.696753323</v>
      </c>
    </row>
    <row r="19" spans="2:6" ht="35.1" customHeight="1" x14ac:dyDescent="0.25">
      <c r="B19" s="62" t="s">
        <v>42</v>
      </c>
      <c r="C19" s="72">
        <v>0</v>
      </c>
      <c r="D19" s="72">
        <v>0</v>
      </c>
      <c r="E19" s="72">
        <v>0</v>
      </c>
      <c r="F19" s="64">
        <v>0</v>
      </c>
    </row>
    <row r="20" spans="2:6" ht="35.1" customHeight="1" x14ac:dyDescent="0.25">
      <c r="B20" s="65" t="s">
        <v>43</v>
      </c>
      <c r="C20" s="71">
        <v>0</v>
      </c>
      <c r="D20" s="71">
        <v>0</v>
      </c>
      <c r="E20" s="71">
        <v>0</v>
      </c>
      <c r="F20" s="67">
        <v>0</v>
      </c>
    </row>
    <row r="21" spans="2:6" ht="35.1" customHeight="1" x14ac:dyDescent="0.25">
      <c r="B21" s="68" t="s">
        <v>44</v>
      </c>
      <c r="C21" s="69">
        <f>C18</f>
        <v>7164179</v>
      </c>
      <c r="D21" s="69">
        <f t="shared" ref="D21:F21" si="2">D18</f>
        <v>8086934</v>
      </c>
      <c r="E21" s="69">
        <f t="shared" si="2"/>
        <v>2996574</v>
      </c>
      <c r="F21" s="69">
        <f t="shared" si="2"/>
        <v>11148337.696753323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EFF25-0504-4FBF-BB9B-A970CA9671CC}">
  <dimension ref="B2:C23"/>
  <sheetViews>
    <sheetView showGridLines="0" rightToLeft="1" zoomScaleNormal="100" workbookViewId="0">
      <selection activeCell="C15" sqref="C15"/>
    </sheetView>
  </sheetViews>
  <sheetFormatPr defaultRowHeight="30" customHeight="1" x14ac:dyDescent="0.25"/>
  <cols>
    <col min="1" max="1" width="5.7109375" style="1" customWidth="1"/>
    <col min="2" max="2" width="8.7109375" style="1" customWidth="1"/>
    <col min="3" max="3" width="200.7109375" style="1" customWidth="1"/>
    <col min="4" max="16384" width="9.140625" style="1"/>
  </cols>
  <sheetData>
    <row r="2" spans="2:3" ht="42" customHeight="1" x14ac:dyDescent="0.25">
      <c r="B2" s="40" t="s">
        <v>50</v>
      </c>
      <c r="C2" s="41" t="s">
        <v>49</v>
      </c>
    </row>
    <row r="3" spans="2:3" ht="30" customHeight="1" x14ac:dyDescent="0.25">
      <c r="B3" s="39">
        <v>1</v>
      </c>
      <c r="C3" s="23"/>
    </row>
    <row r="4" spans="2:3" ht="30" customHeight="1" x14ac:dyDescent="0.25">
      <c r="B4" s="39">
        <v>2</v>
      </c>
      <c r="C4" s="23"/>
    </row>
    <row r="5" spans="2:3" ht="30" customHeight="1" x14ac:dyDescent="0.25">
      <c r="B5" s="39">
        <v>3</v>
      </c>
      <c r="C5" s="23"/>
    </row>
    <row r="6" spans="2:3" ht="30" customHeight="1" x14ac:dyDescent="0.25">
      <c r="B6" s="39">
        <v>4</v>
      </c>
      <c r="C6" s="23"/>
    </row>
    <row r="7" spans="2:3" ht="30" customHeight="1" x14ac:dyDescent="0.25">
      <c r="B7" s="39">
        <v>5</v>
      </c>
      <c r="C7" s="23"/>
    </row>
    <row r="8" spans="2:3" ht="30" customHeight="1" x14ac:dyDescent="0.25">
      <c r="B8" s="39">
        <v>6</v>
      </c>
      <c r="C8" s="23"/>
    </row>
    <row r="9" spans="2:3" ht="30" customHeight="1" x14ac:dyDescent="0.25">
      <c r="B9" s="39">
        <v>7</v>
      </c>
      <c r="C9" s="23"/>
    </row>
    <row r="10" spans="2:3" ht="30" customHeight="1" x14ac:dyDescent="0.25">
      <c r="B10" s="39">
        <v>8</v>
      </c>
      <c r="C10" s="23"/>
    </row>
    <row r="11" spans="2:3" ht="30" customHeight="1" x14ac:dyDescent="0.25">
      <c r="B11" s="39">
        <v>9</v>
      </c>
      <c r="C11" s="23"/>
    </row>
    <row r="12" spans="2:3" ht="30" customHeight="1" x14ac:dyDescent="0.25">
      <c r="B12" s="39">
        <v>10</v>
      </c>
      <c r="C12" s="23"/>
    </row>
    <row r="13" spans="2:3" ht="35.1" customHeight="1" x14ac:dyDescent="0.25"/>
    <row r="14" spans="2:3" ht="35.1" customHeight="1" x14ac:dyDescent="0.25"/>
    <row r="15" spans="2:3" ht="35.1" customHeight="1" x14ac:dyDescent="0.25"/>
    <row r="16" spans="2:3" ht="35.1" customHeight="1" x14ac:dyDescent="0.25"/>
    <row r="17" ht="35.1" customHeight="1" x14ac:dyDescent="0.25"/>
    <row r="18" ht="35.1" customHeight="1" x14ac:dyDescent="0.25"/>
    <row r="19" ht="35.1" customHeight="1" x14ac:dyDescent="0.25"/>
    <row r="20" ht="35.1" customHeight="1" x14ac:dyDescent="0.25"/>
    <row r="21" ht="35.1" customHeight="1" x14ac:dyDescent="0.25"/>
    <row r="22" ht="35.1" customHeight="1" x14ac:dyDescent="0.25"/>
    <row r="23" ht="35.1" customHeight="1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مفروضات</vt:lpstr>
      <vt:lpstr>درآمد</vt:lpstr>
      <vt:lpstr>بهای تمام شده</vt:lpstr>
      <vt:lpstr>هزینه انرژی</vt:lpstr>
      <vt:lpstr>سود و زیان</vt:lpstr>
      <vt:lpstr>اطلاعات تکمیلی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2025-01-25T05:36:17Z</dcterms:created>
  <dcterms:modified xsi:type="dcterms:W3CDTF">2025-06-08T12:17:26Z</dcterms:modified>
</cp:coreProperties>
</file>