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A1F31F-3593-49BD-8772-485837D157BB}" xr6:coauthVersionLast="47" xr6:coauthVersionMax="47" xr10:uidLastSave="{00000000-0000-0000-0000-000000000000}"/>
  <bookViews>
    <workbookView xWindow="-120" yWindow="-120" windowWidth="29040" windowHeight="15840" xr2:uid="{81A8E130-F218-4DF9-9AC1-141D0D13A5D4}"/>
  </bookViews>
  <sheets>
    <sheet name="مفروضات" sheetId="1" r:id="rId1"/>
    <sheet name="درآمد" sheetId="4" r:id="rId2"/>
    <sheet name="بهای تمام شده" sheetId="3" r:id="rId3"/>
    <sheet name="هزینه انرژی" sheetId="7" r:id="rId4"/>
    <sheet name="سود و زیان" sheetId="5" r:id="rId5"/>
    <sheet name="اطلاعات تکمیلی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5" l="1"/>
  <c r="D21" i="5"/>
  <c r="F20" i="5"/>
  <c r="F17" i="5"/>
  <c r="F15" i="5"/>
  <c r="F13" i="5"/>
  <c r="F10" i="5"/>
  <c r="F5" i="5"/>
  <c r="E21" i="5"/>
  <c r="C20" i="5"/>
  <c r="C21" i="5" s="1"/>
  <c r="G5" i="1"/>
  <c r="G26" i="7"/>
  <c r="G25" i="7"/>
  <c r="G24" i="7"/>
  <c r="H100" i="3"/>
  <c r="H34" i="3"/>
  <c r="H33" i="3"/>
  <c r="G24" i="3"/>
  <c r="H21" i="3"/>
  <c r="G21" i="3"/>
  <c r="H69" i="4"/>
  <c r="G71" i="4"/>
  <c r="G70" i="4"/>
  <c r="G69" i="4"/>
  <c r="H18" i="7"/>
  <c r="H16" i="7"/>
  <c r="H92" i="3"/>
  <c r="H76" i="3"/>
  <c r="H77" i="3"/>
  <c r="H78" i="3"/>
  <c r="H79" i="3"/>
  <c r="H80" i="3"/>
  <c r="H81" i="3"/>
  <c r="H82" i="3"/>
  <c r="H83" i="3"/>
  <c r="H84" i="3"/>
  <c r="H75" i="3"/>
  <c r="H60" i="3"/>
  <c r="H62" i="3"/>
  <c r="H63" i="3"/>
  <c r="H64" i="3"/>
  <c r="H65" i="3"/>
  <c r="H66" i="3"/>
  <c r="H67" i="3"/>
  <c r="H68" i="3"/>
  <c r="H59" i="3"/>
  <c r="H35" i="3"/>
  <c r="H36" i="3"/>
  <c r="H37" i="3"/>
  <c r="H50" i="3" s="1"/>
  <c r="H38" i="3"/>
  <c r="H51" i="3" s="1"/>
  <c r="H39" i="3"/>
  <c r="F26" i="7"/>
  <c r="E26" i="7"/>
  <c r="F25" i="7"/>
  <c r="E25" i="7"/>
  <c r="E24" i="7"/>
  <c r="F9" i="7"/>
  <c r="G9" i="7"/>
  <c r="E9" i="7"/>
  <c r="G35" i="7"/>
  <c r="F35" i="7"/>
  <c r="E35" i="7"/>
  <c r="G104" i="3"/>
  <c r="H101" i="3"/>
  <c r="E104" i="3"/>
  <c r="G12" i="3"/>
  <c r="H25" i="3"/>
  <c r="G13" i="3"/>
  <c r="G26" i="3" s="1"/>
  <c r="F13" i="3"/>
  <c r="F26" i="3" s="1"/>
  <c r="E13" i="3"/>
  <c r="E23" i="3" s="1"/>
  <c r="F71" i="4"/>
  <c r="E71" i="4"/>
  <c r="F69" i="4"/>
  <c r="E69" i="4"/>
  <c r="F70" i="4"/>
  <c r="E70" i="4"/>
  <c r="H64" i="4"/>
  <c r="H65" i="4"/>
  <c r="G64" i="4"/>
  <c r="F64" i="4"/>
  <c r="E64" i="4"/>
  <c r="H85" i="3" l="1"/>
  <c r="G6" i="5" s="1"/>
  <c r="H56" i="4"/>
  <c r="H55" i="4" s="1"/>
  <c r="H70" i="4"/>
  <c r="H71" i="4"/>
  <c r="E22" i="3"/>
  <c r="E27" i="3"/>
  <c r="G23" i="3"/>
  <c r="E21" i="3"/>
  <c r="G22" i="3"/>
  <c r="F23" i="3"/>
  <c r="E26" i="3"/>
  <c r="G27" i="3"/>
  <c r="F22" i="3"/>
  <c r="F27" i="3"/>
  <c r="F21" i="3"/>
  <c r="H12" i="4"/>
  <c r="H13" i="4" s="1"/>
  <c r="G13" i="4"/>
  <c r="F13" i="4"/>
  <c r="E13" i="4"/>
  <c r="F104" i="3"/>
  <c r="H36" i="4" l="1"/>
  <c r="H6" i="4"/>
  <c r="H13" i="3"/>
  <c r="H9" i="7"/>
  <c r="H57" i="4"/>
  <c r="H23" i="3"/>
  <c r="H22" i="3"/>
  <c r="H27" i="3"/>
  <c r="E20" i="4"/>
  <c r="E14" i="3"/>
  <c r="E24" i="3" s="1"/>
  <c r="F14" i="4"/>
  <c r="F14" i="3"/>
  <c r="F24" i="3" s="1"/>
  <c r="G19" i="4"/>
  <c r="G14" i="3"/>
  <c r="E14" i="4"/>
  <c r="G14" i="4"/>
  <c r="H14" i="4" s="1"/>
  <c r="E19" i="4"/>
  <c r="G36" i="4"/>
  <c r="F36" i="4"/>
  <c r="F45" i="4" s="1"/>
  <c r="G10" i="7"/>
  <c r="E22" i="4"/>
  <c r="E36" i="4"/>
  <c r="E15" i="3" s="1"/>
  <c r="F82" i="4"/>
  <c r="E8" i="7"/>
  <c r="G8" i="7"/>
  <c r="F8" i="7"/>
  <c r="H33" i="4" l="1"/>
  <c r="H31" i="4"/>
  <c r="H32" i="4"/>
  <c r="H5" i="3"/>
  <c r="H46" i="3" s="1"/>
  <c r="H7" i="3"/>
  <c r="H48" i="3" s="1"/>
  <c r="H11" i="3"/>
  <c r="H52" i="3" s="1"/>
  <c r="H14" i="3"/>
  <c r="H10" i="7"/>
  <c r="H5" i="7" s="1"/>
  <c r="H48" i="4"/>
  <c r="H7" i="4"/>
  <c r="H8" i="4"/>
  <c r="E45" i="4"/>
  <c r="E43" i="4"/>
  <c r="G43" i="4"/>
  <c r="G45" i="4"/>
  <c r="E44" i="4"/>
  <c r="F43" i="4"/>
  <c r="F44" i="4"/>
  <c r="G44" i="4"/>
  <c r="G22" i="4"/>
  <c r="G20" i="4"/>
  <c r="G21" i="4"/>
  <c r="H6" i="3" l="1"/>
  <c r="H47" i="3" s="1"/>
  <c r="H8" i="3"/>
  <c r="H7" i="7"/>
  <c r="H34" i="7" s="1"/>
  <c r="H6" i="7"/>
  <c r="H33" i="7" s="1"/>
  <c r="H79" i="4"/>
  <c r="H15" i="3"/>
  <c r="H77" i="4"/>
  <c r="H78" i="4"/>
  <c r="H35" i="4"/>
  <c r="E85" i="3"/>
  <c r="F85" i="3"/>
  <c r="E69" i="3"/>
  <c r="F69" i="3"/>
  <c r="G85" i="3"/>
  <c r="G69" i="3"/>
  <c r="E53" i="3"/>
  <c r="F53" i="3"/>
  <c r="H32" i="7" l="1"/>
  <c r="H35" i="7" s="1"/>
  <c r="H61" i="3" s="1"/>
  <c r="H69" i="3" s="1"/>
  <c r="H93" i="3" s="1"/>
  <c r="H8" i="7"/>
  <c r="H82" i="4"/>
  <c r="G3" i="5" s="1"/>
  <c r="E12" i="3"/>
  <c r="F12" i="3"/>
  <c r="E82" i="4"/>
  <c r="F15" i="3"/>
  <c r="F22" i="4"/>
  <c r="F10" i="7" l="1"/>
  <c r="F19" i="4"/>
  <c r="F20" i="4"/>
  <c r="F21" i="4"/>
  <c r="E21" i="4"/>
  <c r="E10" i="7"/>
  <c r="D13" i="5"/>
  <c r="G53" i="3"/>
  <c r="F24" i="7" l="1"/>
  <c r="E48" i="4"/>
  <c r="G15" i="3"/>
  <c r="F48" i="4"/>
  <c r="G48" i="4" l="1"/>
  <c r="G82" i="4" l="1"/>
  <c r="H12" i="3" l="1"/>
  <c r="H49" i="3"/>
  <c r="H53" i="3" s="1"/>
  <c r="H91" i="3" s="1"/>
  <c r="H94" i="3" s="1"/>
  <c r="H96" i="3" s="1"/>
  <c r="H99" i="3" s="1"/>
  <c r="H102" i="3" s="1"/>
  <c r="H104" i="3" s="1"/>
  <c r="G4" i="5" s="1"/>
  <c r="G5" i="5" l="1"/>
  <c r="G10" i="5" s="1"/>
  <c r="G13" i="5" s="1"/>
  <c r="G17" i="5" l="1"/>
  <c r="G20" i="5" s="1"/>
  <c r="G21" i="5" s="1"/>
  <c r="E13" i="1" l="1"/>
  <c r="H5" i="1" s="1"/>
</calcChain>
</file>

<file path=xl/sharedStrings.xml><?xml version="1.0" encoding="utf-8"?>
<sst xmlns="http://schemas.openxmlformats.org/spreadsheetml/2006/main" count="284" uniqueCount="131">
  <si>
    <t>مقدار تولید</t>
  </si>
  <si>
    <t>شرح</t>
  </si>
  <si>
    <t>واحد</t>
  </si>
  <si>
    <t>تن</t>
  </si>
  <si>
    <t>جمع کل</t>
  </si>
  <si>
    <t>نسبت تولید به کل تولید</t>
  </si>
  <si>
    <t>ریال</t>
  </si>
  <si>
    <t>مقدار تولید - داخلی</t>
  </si>
  <si>
    <t>مقدار تولید - صادراتی</t>
  </si>
  <si>
    <t>نسبت فروش  به کل فروش - داخلی</t>
  </si>
  <si>
    <t>مبلغ فروش - داخلی</t>
  </si>
  <si>
    <t>نسبت فروش  به کل فروش - صادراتی</t>
  </si>
  <si>
    <t>نرخ فروش - داخلی</t>
  </si>
  <si>
    <t>نرخ فروش - صادراتی</t>
  </si>
  <si>
    <t>مقدار فروش (تعداد) - داخلی</t>
  </si>
  <si>
    <t>مقدار فروش (تعداد) - صادراتی</t>
  </si>
  <si>
    <t>مبلغ فروش - صادراتی</t>
  </si>
  <si>
    <t>سال 1403</t>
  </si>
  <si>
    <t>دلار</t>
  </si>
  <si>
    <t>مقدار مصرف مواد اولیه</t>
  </si>
  <si>
    <t>جمع فروش</t>
  </si>
  <si>
    <t>ضریب مصرف</t>
  </si>
  <si>
    <t>نرخ  مواد اولیه</t>
  </si>
  <si>
    <t>مبلغ  مواد مصرفی</t>
  </si>
  <si>
    <t>جمع</t>
  </si>
  <si>
    <t>سربار</t>
  </si>
  <si>
    <t>هزینه های اداری و عمومی و فروش</t>
  </si>
  <si>
    <t>بهای تمام شده کالای فروش رفته</t>
  </si>
  <si>
    <t>درآمدهای عملیاتی</t>
  </si>
  <si>
    <t>بهاى تمام شده درآمدهای عملیاتی</t>
  </si>
  <si>
    <t>سود (زيان) ناخالص</t>
  </si>
  <si>
    <t>هزينه‏‌هاى فروش، ادارى و عمومى</t>
  </si>
  <si>
    <t>هزینه کاهش ارزش دریافتنی‌‏ها (هزینه استثنایی)</t>
  </si>
  <si>
    <t>ساير درآمدها</t>
  </si>
  <si>
    <t>سایر هزینه‌ها</t>
  </si>
  <si>
    <t>سود (زيان) عملياتي</t>
  </si>
  <si>
    <t>هزينه‏‌هاى مالى</t>
  </si>
  <si>
    <t>سایر درآمدها و هزینه‌های غیرعملیاتی- درآمد سرمایه‌گذاری‌ها</t>
  </si>
  <si>
    <t>سود (زيان) عمليات در حال تداوم قبل از ماليات</t>
  </si>
  <si>
    <t>هزینه مالیات بر درآمد:</t>
  </si>
  <si>
    <t>سال جاری</t>
  </si>
  <si>
    <t>سال‌های قبل</t>
  </si>
  <si>
    <t>سود (زيان) خالص عمليات در حال تداوم</t>
  </si>
  <si>
    <t>عملیات متوقف شده:</t>
  </si>
  <si>
    <t>سود (زیان) خالص عملیات متوقف شده</t>
  </si>
  <si>
    <t>سود (زيان) خالص</t>
  </si>
  <si>
    <t>سود (زيان) پايه هر سهم</t>
  </si>
  <si>
    <t>سرمایه</t>
  </si>
  <si>
    <t>مفروضات تحلیل حساسیت</t>
  </si>
  <si>
    <t>برآورد سود خالص</t>
  </si>
  <si>
    <t>مجموعه آموزشی رز</t>
  </si>
  <si>
    <t>سود خالص</t>
  </si>
  <si>
    <t>اطلاعات تکمیلی</t>
  </si>
  <si>
    <t>ردیف</t>
  </si>
  <si>
    <t>مقدار فروش (تعداد)</t>
  </si>
  <si>
    <t>نسبت فروش  به کل فروش</t>
  </si>
  <si>
    <t>مبلغ فروش</t>
  </si>
  <si>
    <t>نرخ فروش</t>
  </si>
  <si>
    <t>دوره منتهي به 1401/12/29</t>
  </si>
  <si>
    <t>دوره منتهي به 1402/12/29</t>
  </si>
  <si>
    <t>دوره منتهي به 1403/12/29</t>
  </si>
  <si>
    <t>مقدار کل برق و گاز مصرفی</t>
  </si>
  <si>
    <t>نرخ</t>
  </si>
  <si>
    <t>مقدار مصرف - مبلغ</t>
  </si>
  <si>
    <t>سیمان تیپ 2 فله</t>
  </si>
  <si>
    <t>سیمان تیپ 2 پاکتی</t>
  </si>
  <si>
    <t>تیپ 2 پاکتی 25 کیلویی</t>
  </si>
  <si>
    <t xml:space="preserve">سیمان پرتلند صادراتی </t>
  </si>
  <si>
    <t>درصد</t>
  </si>
  <si>
    <t>سنگ آهک</t>
  </si>
  <si>
    <t>آهن</t>
  </si>
  <si>
    <t>سنگ سیلیس</t>
  </si>
  <si>
    <t>گچ</t>
  </si>
  <si>
    <t>پوزولان</t>
  </si>
  <si>
    <t>مارل</t>
  </si>
  <si>
    <t>کلینکر خریداری شده</t>
  </si>
  <si>
    <t>میلیون ریال</t>
  </si>
  <si>
    <t>هزینه حقوق و دستمزد</t>
  </si>
  <si>
    <t>هزینه استهلاک</t>
  </si>
  <si>
    <t>هزینه انرژی (آب، برق، گاز و سوخت)</t>
  </si>
  <si>
    <t>هزینه مواد مصرفی</t>
  </si>
  <si>
    <t>هزینه تبلیغات</t>
  </si>
  <si>
    <t>حق العمل و کمیسیون فروش</t>
  </si>
  <si>
    <t>هزینه خدمات پس از فروش</t>
  </si>
  <si>
    <t>هزینه مطالبات مشکوک الوصول</t>
  </si>
  <si>
    <t>هزینه حمل و نقل و انتقال</t>
  </si>
  <si>
    <t>سایر هزینه ها</t>
  </si>
  <si>
    <t>مواد مستقیم مصرفی</t>
  </si>
  <si>
    <t>دستمزدمستقيم توليد</t>
  </si>
  <si>
    <t>سربارتوليد</t>
  </si>
  <si>
    <t>هزينه جذب نشده درتوليد</t>
  </si>
  <si>
    <t>جمع هزينه هاي توليد</t>
  </si>
  <si>
    <t>خالص موجودی كالاي درجريان ساخت</t>
  </si>
  <si>
    <t>ضايعات غيرعادي</t>
  </si>
  <si>
    <t>بهاي تمام شده كالاي تولید شده</t>
  </si>
  <si>
    <t>موجودي كالاي ساخته شده اول دوره</t>
  </si>
  <si>
    <t>موجودي كالاي ساخته شده پايان دوره</t>
  </si>
  <si>
    <t>بهاي تمام شده كالاي فروش رفته</t>
  </si>
  <si>
    <t>بهاي تمام شده خدمات ارایه شده</t>
  </si>
  <si>
    <t>کل تولید سیمان</t>
  </si>
  <si>
    <t>نسبت استفاده گچ در تولید سیمان</t>
  </si>
  <si>
    <t>تولید کلینکر</t>
  </si>
  <si>
    <t>نسبت کلینکر به سیمان</t>
  </si>
  <si>
    <t>مقدار تولید کلینکر</t>
  </si>
  <si>
    <t>سیمان بورس کالا</t>
  </si>
  <si>
    <t>ضریب رشد 1404 به 1403 برای انرژی</t>
  </si>
  <si>
    <t xml:space="preserve">نرخ  دلار </t>
  </si>
  <si>
    <t>نرخ دلاری سیمان  پاکتی در بورس کالا</t>
  </si>
  <si>
    <t>نرخ دلاری سیمان</t>
  </si>
  <si>
    <t>نرخ تسعیر</t>
  </si>
  <si>
    <t>تومان</t>
  </si>
  <si>
    <t>ضریب نرخ فروش</t>
  </si>
  <si>
    <t>ضریب نرخ سیمان فله</t>
  </si>
  <si>
    <t>ضریب نرخ سیمان پاکتی</t>
  </si>
  <si>
    <t>ضریب نرخ سیمان پاکتی 25 کیلویی</t>
  </si>
  <si>
    <t>جمع تولید سیمان</t>
  </si>
  <si>
    <t>جمع تولید کلینکر</t>
  </si>
  <si>
    <t>برق</t>
  </si>
  <si>
    <t>گاز طبیعی</t>
  </si>
  <si>
    <t>مازوت</t>
  </si>
  <si>
    <t>مگاوات ساعت</t>
  </si>
  <si>
    <t>متر مکعب</t>
  </si>
  <si>
    <t>گاز</t>
  </si>
  <si>
    <t>دوره منتهي به 1404/12/29</t>
  </si>
  <si>
    <t>جمع مبلغ</t>
  </si>
  <si>
    <t xml:space="preserve">ضریب رشد 1404 به 1403 </t>
  </si>
  <si>
    <t>قیمت دلاری سیمان</t>
  </si>
  <si>
    <t xml:space="preserve">ارزش بازار </t>
  </si>
  <si>
    <t>تحلیل حساسیت سخزر</t>
  </si>
  <si>
    <t>کلینکر</t>
  </si>
  <si>
    <t>برآورد شرکت منتهی به 1404/12/29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</si>
</sst>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_);[Red]\(0\)"/>
    <numFmt numFmtId="165" formatCode="#,##0;[Red]#,##0"/>
    <numFmt numFmtId="166" formatCode="0.0%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3766C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43766C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E2A0"/>
        <bgColor indexed="64"/>
      </patternFill>
    </fill>
    <fill>
      <patternFill patternType="solid">
        <fgColor rgb="FF43766C"/>
        <bgColor indexed="64"/>
      </patternFill>
    </fill>
    <fill>
      <patternFill patternType="solid">
        <fgColor rgb="FFB1947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6" tint="0.39997558519241921"/>
      </left>
      <right/>
      <top style="thin">
        <color theme="2"/>
      </top>
      <bottom style="thin">
        <color theme="6" tint="0.39997558519241921"/>
      </bottom>
      <diagonal/>
    </border>
    <border>
      <left/>
      <right/>
      <top style="thin">
        <color theme="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2"/>
      </top>
      <bottom style="thin">
        <color theme="6" tint="0.3999755851924192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4506668294322"/>
      </top>
      <bottom style="thin">
        <color theme="6" tint="0.39997558519241921"/>
      </bottom>
      <diagonal/>
    </border>
    <border>
      <left/>
      <right/>
      <top style="thin">
        <color theme="6" tint="0.3999450666829432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4506668294322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1" tint="0.499984740745262"/>
      </top>
      <bottom/>
      <diagonal/>
    </border>
    <border>
      <left/>
      <right style="thin">
        <color theme="6" tint="0.39997558519241921"/>
      </right>
      <top style="thin">
        <color theme="1" tint="0.499984740745262"/>
      </top>
      <bottom/>
      <diagonal/>
    </border>
    <border>
      <left/>
      <right/>
      <top/>
      <bottom style="thin">
        <color theme="6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3" fontId="0" fillId="0" borderId="0" xfId="0" applyNumberFormat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 shrinkToFit="1"/>
    </xf>
    <xf numFmtId="38" fontId="4" fillId="2" borderId="6" xfId="1" applyNumberFormat="1" applyFont="1" applyFill="1" applyBorder="1" applyAlignment="1">
      <alignment horizontal="center" vertical="center" wrapText="1" shrinkToFit="1"/>
    </xf>
    <xf numFmtId="38" fontId="4" fillId="2" borderId="7" xfId="1" applyNumberFormat="1" applyFont="1" applyFill="1" applyBorder="1" applyAlignment="1">
      <alignment horizontal="center" vertical="center" wrapText="1" shrinkToFit="1"/>
    </xf>
    <xf numFmtId="164" fontId="5" fillId="6" borderId="15" xfId="1" applyNumberFormat="1" applyFont="1" applyFill="1" applyBorder="1" applyAlignment="1">
      <alignment horizontal="center" vertical="center" wrapText="1" shrinkToFit="1"/>
    </xf>
    <xf numFmtId="38" fontId="5" fillId="6" borderId="16" xfId="1" applyNumberFormat="1" applyFont="1" applyFill="1" applyBorder="1" applyAlignment="1">
      <alignment horizontal="center" vertical="center" wrapText="1" shrinkToFit="1"/>
    </xf>
    <xf numFmtId="3" fontId="2" fillId="7" borderId="1" xfId="0" applyNumberFormat="1" applyFont="1" applyFill="1" applyBorder="1" applyAlignment="1">
      <alignment horizontal="center" vertical="center" wrapText="1"/>
    </xf>
    <xf numFmtId="3" fontId="6" fillId="7" borderId="1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3" fontId="2" fillId="7" borderId="12" xfId="0" applyNumberFormat="1" applyFont="1" applyFill="1" applyBorder="1" applyAlignment="1">
      <alignment vertical="center" wrapText="1"/>
    </xf>
    <xf numFmtId="3" fontId="2" fillId="7" borderId="18" xfId="0" applyNumberFormat="1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3" fontId="2" fillId="4" borderId="28" xfId="2" applyNumberFormat="1" applyFont="1" applyFill="1" applyBorder="1" applyAlignment="1">
      <alignment horizontal="center" vertical="center" wrapText="1"/>
    </xf>
    <xf numFmtId="3" fontId="2" fillId="4" borderId="29" xfId="2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11" fillId="7" borderId="0" xfId="0" applyNumberFormat="1" applyFont="1" applyFill="1" applyAlignment="1">
      <alignment horizontal="center" vertical="center" wrapText="1"/>
    </xf>
    <xf numFmtId="3" fontId="12" fillId="7" borderId="0" xfId="0" applyNumberFormat="1" applyFont="1" applyFill="1" applyAlignment="1">
      <alignment horizontal="center" vertical="center" wrapText="1"/>
    </xf>
    <xf numFmtId="3" fontId="9" fillId="7" borderId="30" xfId="0" applyNumberFormat="1" applyFont="1" applyFill="1" applyBorder="1" applyAlignment="1">
      <alignment vertical="center" wrapText="1"/>
    </xf>
    <xf numFmtId="3" fontId="9" fillId="7" borderId="18" xfId="0" applyNumberFormat="1" applyFont="1" applyFill="1" applyBorder="1" applyAlignment="1">
      <alignment vertical="center" wrapText="1"/>
    </xf>
    <xf numFmtId="3" fontId="0" fillId="2" borderId="15" xfId="0" applyNumberFormat="1" applyFill="1" applyBorder="1" applyAlignment="1">
      <alignment horizontal="center" vertical="center" wrapText="1"/>
    </xf>
    <xf numFmtId="3" fontId="0" fillId="2" borderId="16" xfId="0" applyNumberFormat="1" applyFill="1" applyBorder="1" applyAlignment="1">
      <alignment horizontal="center" vertical="center" wrapText="1"/>
    </xf>
    <xf numFmtId="3" fontId="0" fillId="2" borderId="36" xfId="0" applyNumberFormat="1" applyFill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3" fontId="2" fillId="4" borderId="27" xfId="0" applyNumberFormat="1" applyFont="1" applyFill="1" applyBorder="1" applyAlignment="1">
      <alignment horizontal="center" vertical="center" wrapText="1"/>
    </xf>
    <xf numFmtId="3" fontId="2" fillId="4" borderId="28" xfId="0" applyNumberFormat="1" applyFont="1" applyFill="1" applyBorder="1" applyAlignment="1">
      <alignment horizontal="center" vertical="center" wrapText="1"/>
    </xf>
    <xf numFmtId="3" fontId="2" fillId="4" borderId="29" xfId="0" applyNumberFormat="1" applyFont="1" applyFill="1" applyBorder="1" applyAlignment="1">
      <alignment horizontal="center" vertical="center" wrapText="1"/>
    </xf>
    <xf numFmtId="9" fontId="0" fillId="2" borderId="16" xfId="2" applyFont="1" applyFill="1" applyBorder="1" applyAlignment="1">
      <alignment horizontal="center" vertical="center" wrapText="1"/>
    </xf>
    <xf numFmtId="9" fontId="0" fillId="2" borderId="36" xfId="2" applyFont="1" applyFill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 wrapText="1"/>
    </xf>
    <xf numFmtId="9" fontId="0" fillId="0" borderId="36" xfId="2" applyFont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9" fontId="0" fillId="0" borderId="6" xfId="2" applyFont="1" applyBorder="1" applyAlignment="1">
      <alignment horizontal="center" vertical="center" wrapText="1"/>
    </xf>
    <xf numFmtId="9" fontId="0" fillId="0" borderId="7" xfId="2" applyFont="1" applyBorder="1" applyAlignment="1">
      <alignment horizontal="center" vertical="center" wrapText="1"/>
    </xf>
    <xf numFmtId="3" fontId="0" fillId="2" borderId="40" xfId="0" applyNumberFormat="1" applyFill="1" applyBorder="1" applyAlignment="1">
      <alignment horizontal="center" vertical="center" wrapText="1"/>
    </xf>
    <xf numFmtId="3" fontId="0" fillId="2" borderId="35" xfId="0" applyNumberFormat="1" applyFill="1" applyBorder="1" applyAlignment="1">
      <alignment horizontal="center" vertical="center" wrapText="1"/>
    </xf>
    <xf numFmtId="3" fontId="0" fillId="2" borderId="41" xfId="0" applyNumberFormat="1" applyFill="1" applyBorder="1" applyAlignment="1">
      <alignment horizontal="center" vertical="center" wrapText="1"/>
    </xf>
    <xf numFmtId="9" fontId="2" fillId="4" borderId="28" xfId="2" applyFont="1" applyFill="1" applyBorder="1" applyAlignment="1">
      <alignment horizontal="center" vertical="center" wrapText="1"/>
    </xf>
    <xf numFmtId="9" fontId="2" fillId="4" borderId="29" xfId="2" applyFont="1" applyFill="1" applyBorder="1" applyAlignment="1">
      <alignment horizontal="center" vertical="center" wrapText="1"/>
    </xf>
    <xf numFmtId="3" fontId="9" fillId="8" borderId="9" xfId="0" applyNumberFormat="1" applyFont="1" applyFill="1" applyBorder="1" applyAlignment="1">
      <alignment vertical="center" wrapText="1"/>
    </xf>
    <xf numFmtId="3" fontId="9" fillId="8" borderId="10" xfId="0" applyNumberFormat="1" applyFont="1" applyFill="1" applyBorder="1" applyAlignment="1">
      <alignment vertical="center" wrapText="1"/>
    </xf>
    <xf numFmtId="164" fontId="4" fillId="2" borderId="15" xfId="1" applyNumberFormat="1" applyFont="1" applyFill="1" applyBorder="1" applyAlignment="1">
      <alignment horizontal="center" vertical="center" wrapText="1" shrinkToFit="1"/>
    </xf>
    <xf numFmtId="38" fontId="4" fillId="2" borderId="16" xfId="1" applyNumberFormat="1" applyFont="1" applyFill="1" applyBorder="1" applyAlignment="1">
      <alignment horizontal="center" vertical="center" shrinkToFit="1"/>
    </xf>
    <xf numFmtId="38" fontId="4" fillId="2" borderId="36" xfId="1" applyNumberFormat="1" applyFont="1" applyFill="1" applyBorder="1" applyAlignment="1">
      <alignment horizontal="center" vertical="center" shrinkToFit="1"/>
    </xf>
    <xf numFmtId="164" fontId="4" fillId="0" borderId="15" xfId="1" applyNumberFormat="1" applyFont="1" applyBorder="1" applyAlignment="1">
      <alignment horizontal="center" vertical="center" wrapText="1" shrinkToFit="1"/>
    </xf>
    <xf numFmtId="38" fontId="4" fillId="0" borderId="16" xfId="1" applyNumberFormat="1" applyFont="1" applyBorder="1" applyAlignment="1">
      <alignment horizontal="center" vertical="center" shrinkToFit="1"/>
    </xf>
    <xf numFmtId="38" fontId="4" fillId="0" borderId="36" xfId="1" applyNumberFormat="1" applyFont="1" applyBorder="1" applyAlignment="1">
      <alignment horizontal="center" vertical="center" shrinkToFit="1"/>
    </xf>
    <xf numFmtId="164" fontId="5" fillId="6" borderId="37" xfId="0" applyNumberFormat="1" applyFont="1" applyFill="1" applyBorder="1" applyAlignment="1">
      <alignment horizontal="center" vertical="center" wrapText="1" shrinkToFit="1"/>
    </xf>
    <xf numFmtId="38" fontId="5" fillId="6" borderId="38" xfId="0" applyNumberFormat="1" applyFont="1" applyFill="1" applyBorder="1" applyAlignment="1">
      <alignment horizontal="center" vertical="center" wrapText="1" shrinkToFit="1"/>
    </xf>
    <xf numFmtId="38" fontId="5" fillId="6" borderId="39" xfId="0" applyNumberFormat="1" applyFont="1" applyFill="1" applyBorder="1" applyAlignment="1">
      <alignment horizontal="center" vertical="center" wrapText="1" shrinkToFit="1"/>
    </xf>
    <xf numFmtId="38" fontId="4" fillId="0" borderId="16" xfId="1" applyNumberFormat="1" applyFont="1" applyBorder="1" applyAlignment="1">
      <alignment horizontal="center" vertical="center" wrapText="1" shrinkToFit="1"/>
    </xf>
    <xf numFmtId="38" fontId="4" fillId="2" borderId="16" xfId="1" applyNumberFormat="1" applyFont="1" applyFill="1" applyBorder="1" applyAlignment="1">
      <alignment horizontal="center" vertical="center" wrapText="1" shrinkToFit="1"/>
    </xf>
    <xf numFmtId="38" fontId="5" fillId="6" borderId="37" xfId="0" applyNumberFormat="1" applyFont="1" applyFill="1" applyBorder="1" applyAlignment="1">
      <alignment horizontal="center" vertical="center" wrapText="1" shrinkToFit="1"/>
    </xf>
    <xf numFmtId="38" fontId="4" fillId="0" borderId="36" xfId="1" applyNumberFormat="1" applyFont="1" applyBorder="1" applyAlignment="1">
      <alignment horizontal="center" vertical="center" wrapText="1" shrinkToFit="1"/>
    </xf>
    <xf numFmtId="3" fontId="4" fillId="2" borderId="15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center" vertical="center" wrapText="1"/>
    </xf>
    <xf numFmtId="3" fontId="5" fillId="2" borderId="36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66" fontId="0" fillId="0" borderId="36" xfId="2" applyNumberFormat="1" applyFont="1" applyBorder="1" applyAlignment="1">
      <alignment horizontal="center" vertical="center" wrapText="1"/>
    </xf>
    <xf numFmtId="166" fontId="0" fillId="2" borderId="36" xfId="2" applyNumberFormat="1" applyFont="1" applyFill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2" fontId="0" fillId="0" borderId="0" xfId="2" applyNumberFormat="1" applyFont="1" applyAlignment="1">
      <alignment horizontal="center" vertical="center" wrapText="1"/>
    </xf>
    <xf numFmtId="166" fontId="0" fillId="0" borderId="0" xfId="2" applyNumberFormat="1" applyFont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9" fontId="0" fillId="2" borderId="15" xfId="2" applyFont="1" applyFill="1" applyBorder="1" applyAlignment="1">
      <alignment horizontal="center" vertical="center" wrapText="1"/>
    </xf>
    <xf numFmtId="4" fontId="0" fillId="2" borderId="16" xfId="0" applyNumberFormat="1" applyFill="1" applyBorder="1" applyAlignment="1">
      <alignment horizontal="center" vertical="center" wrapText="1"/>
    </xf>
    <xf numFmtId="4" fontId="0" fillId="2" borderId="36" xfId="0" applyNumberFormat="1" applyFill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2" borderId="6" xfId="0" applyNumberFormat="1" applyFill="1" applyBorder="1" applyAlignment="1">
      <alignment horizontal="center" vertical="center" wrapText="1"/>
    </xf>
    <xf numFmtId="4" fontId="0" fillId="2" borderId="7" xfId="0" applyNumberFormat="1" applyFill="1" applyBorder="1" applyAlignment="1">
      <alignment horizontal="center" vertical="center" wrapText="1"/>
    </xf>
    <xf numFmtId="9" fontId="3" fillId="5" borderId="1" xfId="2" applyFont="1" applyFill="1" applyBorder="1" applyAlignment="1">
      <alignment horizontal="center" vertical="center"/>
    </xf>
    <xf numFmtId="3" fontId="7" fillId="7" borderId="17" xfId="0" applyNumberFormat="1" applyFont="1" applyFill="1" applyBorder="1" applyAlignment="1">
      <alignment horizontal="center" vertical="center" textRotation="90" wrapText="1"/>
    </xf>
    <xf numFmtId="3" fontId="7" fillId="7" borderId="14" xfId="0" applyNumberFormat="1" applyFont="1" applyFill="1" applyBorder="1" applyAlignment="1">
      <alignment horizontal="center" vertical="center" textRotation="90" wrapText="1"/>
    </xf>
    <xf numFmtId="3" fontId="7" fillId="7" borderId="13" xfId="0" applyNumberFormat="1" applyFont="1" applyFill="1" applyBorder="1" applyAlignment="1">
      <alignment horizontal="center" vertical="center" textRotation="90" wrapText="1"/>
    </xf>
    <xf numFmtId="3" fontId="7" fillId="7" borderId="2" xfId="0" applyNumberFormat="1" applyFont="1" applyFill="1" applyBorder="1" applyAlignment="1">
      <alignment horizontal="center" vertical="center" wrapText="1"/>
    </xf>
    <xf numFmtId="3" fontId="7" fillId="7" borderId="3" xfId="0" applyNumberFormat="1" applyFont="1" applyFill="1" applyBorder="1" applyAlignment="1">
      <alignment horizontal="center" vertical="center" wrapText="1"/>
    </xf>
    <xf numFmtId="3" fontId="7" fillId="7" borderId="4" xfId="0" applyNumberFormat="1" applyFont="1" applyFill="1" applyBorder="1" applyAlignment="1">
      <alignment horizontal="center" vertical="center" wrapText="1"/>
    </xf>
    <xf numFmtId="3" fontId="7" fillId="7" borderId="0" xfId="0" applyNumberFormat="1" applyFont="1" applyFill="1" applyAlignment="1">
      <alignment horizontal="center" vertical="center" wrapText="1"/>
    </xf>
    <xf numFmtId="3" fontId="8" fillId="7" borderId="2" xfId="0" applyNumberFormat="1" applyFont="1" applyFill="1" applyBorder="1" applyAlignment="1">
      <alignment horizontal="center" vertical="center" wrapText="1"/>
    </xf>
    <xf numFmtId="3" fontId="8" fillId="7" borderId="3" xfId="0" applyNumberFormat="1" applyFont="1" applyFill="1" applyBorder="1" applyAlignment="1">
      <alignment horizontal="center" vertical="center" wrapText="1"/>
    </xf>
    <xf numFmtId="3" fontId="8" fillId="7" borderId="4" xfId="0" applyNumberFormat="1" applyFont="1" applyFill="1" applyBorder="1" applyAlignment="1">
      <alignment horizontal="center" vertical="center" wrapText="1"/>
    </xf>
    <xf numFmtId="3" fontId="9" fillId="8" borderId="8" xfId="0" applyNumberFormat="1" applyFont="1" applyFill="1" applyBorder="1" applyAlignment="1">
      <alignment horizontal="center" vertical="center" wrapText="1"/>
    </xf>
    <xf numFmtId="3" fontId="9" fillId="8" borderId="9" xfId="0" applyNumberFormat="1" applyFont="1" applyFill="1" applyBorder="1" applyAlignment="1">
      <alignment horizontal="center" vertical="center" wrapText="1"/>
    </xf>
    <xf numFmtId="3" fontId="9" fillId="7" borderId="12" xfId="0" applyNumberFormat="1" applyFont="1" applyFill="1" applyBorder="1" applyAlignment="1">
      <alignment horizontal="center" vertical="center" wrapText="1"/>
    </xf>
    <xf numFmtId="3" fontId="9" fillId="7" borderId="30" xfId="0" applyNumberFormat="1" applyFont="1" applyFill="1" applyBorder="1" applyAlignment="1">
      <alignment horizontal="center" vertical="center" wrapText="1"/>
    </xf>
    <xf numFmtId="3" fontId="2" fillId="3" borderId="42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4">
    <dxf>
      <numFmt numFmtId="3" formatCode="#,##0"/>
      <alignment horizontal="right" vertical="center" textRotation="0" wrapText="1" relativeIndent="1" justifyLastLine="0" shrinkToFit="0" readingOrder="0"/>
      <border outline="0">
        <left style="thin">
          <color theme="2" tint="-9.9948118533890809E-2"/>
        </left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2" tint="-9.9948118533890809E-2"/>
        </right>
        <top/>
        <bottom/>
      </border>
    </dxf>
    <dxf>
      <alignment horizontal="center" vertical="center" textRotation="0" wrapText="1" indent="0" justifyLastLine="0" shrinkToFit="0" readingOrder="0"/>
    </dxf>
    <dxf>
      <numFmt numFmtId="3" formatCode="#,##0"/>
      <fill>
        <patternFill patternType="solid">
          <fgColor indexed="64"/>
          <bgColor rgb="FF43766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5D5D"/>
      <color rgb="FF09FF78"/>
      <color rgb="FFFF7979"/>
      <color rgb="FF43766C"/>
      <color rgb="FFB19470"/>
      <color rgb="FFF2F2F2"/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2</xdr:row>
      <xdr:rowOff>57150</xdr:rowOff>
    </xdr:from>
    <xdr:to>
      <xdr:col>2</xdr:col>
      <xdr:colOff>504825</xdr:colOff>
      <xdr:row>2</xdr:row>
      <xdr:rowOff>447674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B1437D-69A7-59E7-B982-0612A6A5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24750" y="561975"/>
          <a:ext cx="390524" cy="3905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322EB34-1B09-497E-B448-5E9A729272CC}" name="Table28" displayName="Table28" ref="B2:C12" totalsRowShown="0" headerRowDxfId="3" dataDxfId="2">
  <autoFilter ref="B2:C12" xr:uid="{2322EB34-1B09-497E-B448-5E9A729272CC}"/>
  <tableColumns count="2">
    <tableColumn id="1" xr3:uid="{4A19357B-0EEE-4468-9481-8BA213970C10}" name="ردیف" dataDxfId="1">
      <calculatedColumnFormula>IF(Table28[[#This Row],[اطلاعات تکمیلی]]="","",ROW()-2)</calculatedColumnFormula>
    </tableColumn>
    <tableColumn id="2" xr3:uid="{3AFDBDFB-4344-4BF2-BD74-FF8FE0B5205F}" name="اطلاعات تکمیلی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82A5-FBAF-4E00-8989-0626A9526FC2}">
  <dimension ref="B2:R14"/>
  <sheetViews>
    <sheetView showGridLines="0" rightToLeft="1" tabSelected="1" workbookViewId="0">
      <selection activeCell="J15" sqref="J15"/>
    </sheetView>
  </sheetViews>
  <sheetFormatPr defaultRowHeight="30" customHeight="1" x14ac:dyDescent="0.25"/>
  <cols>
    <col min="1" max="1" width="5.7109375" style="1" customWidth="1"/>
    <col min="2" max="2" width="1.7109375" style="1" customWidth="1"/>
    <col min="3" max="3" width="28.140625" style="1" customWidth="1"/>
    <col min="4" max="4" width="9.140625" style="1"/>
    <col min="5" max="5" width="16.7109375" style="1" customWidth="1"/>
    <col min="6" max="6" width="1.7109375" style="1" customWidth="1"/>
    <col min="7" max="7" width="9.140625" style="1"/>
    <col min="8" max="8" width="12.7109375" style="1" customWidth="1"/>
    <col min="9" max="17" width="13.7109375" style="1" customWidth="1"/>
    <col min="18" max="18" width="1.7109375" style="1" customWidth="1"/>
    <col min="19" max="16384" width="9.140625" style="1"/>
  </cols>
  <sheetData>
    <row r="2" spans="2:18" ht="9.9499999999999993" customHeight="1" x14ac:dyDescent="0.25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2:18" ht="39.950000000000003" customHeight="1" x14ac:dyDescent="0.25">
      <c r="B3" s="21"/>
      <c r="C3" s="111" t="s">
        <v>50</v>
      </c>
      <c r="D3" s="111"/>
      <c r="E3" s="111"/>
      <c r="G3" s="108" t="s">
        <v>128</v>
      </c>
      <c r="H3" s="109"/>
      <c r="I3" s="109"/>
      <c r="J3" s="109"/>
      <c r="K3" s="109"/>
      <c r="L3" s="109"/>
      <c r="M3" s="109"/>
      <c r="N3" s="109"/>
      <c r="O3" s="109"/>
      <c r="P3" s="109"/>
      <c r="Q3" s="110"/>
      <c r="R3" s="22"/>
    </row>
    <row r="4" spans="2:18" ht="39.950000000000003" customHeight="1" x14ac:dyDescent="0.25">
      <c r="B4" s="21"/>
      <c r="C4" s="112" t="s">
        <v>48</v>
      </c>
      <c r="D4" s="113"/>
      <c r="E4" s="114"/>
      <c r="G4" s="14"/>
      <c r="H4" s="15"/>
      <c r="I4" s="108" t="s">
        <v>126</v>
      </c>
      <c r="J4" s="109"/>
      <c r="K4" s="109"/>
      <c r="L4" s="109"/>
      <c r="M4" s="109"/>
      <c r="N4" s="109"/>
      <c r="O4" s="109"/>
      <c r="P4" s="109"/>
      <c r="Q4" s="110"/>
      <c r="R4" s="22"/>
    </row>
    <row r="5" spans="2:18" ht="35.1" customHeight="1" x14ac:dyDescent="0.25">
      <c r="B5" s="21"/>
      <c r="C5" s="13" t="s">
        <v>1</v>
      </c>
      <c r="D5" s="13" t="s">
        <v>2</v>
      </c>
      <c r="E5" s="17" t="s">
        <v>17</v>
      </c>
      <c r="G5" s="10" t="str">
        <f>D13</f>
        <v>ریال</v>
      </c>
      <c r="H5" s="31">
        <f>E13</f>
        <v>5188423.7992779743</v>
      </c>
      <c r="I5" s="9">
        <v>22</v>
      </c>
      <c r="J5" s="9">
        <v>24</v>
      </c>
      <c r="K5" s="9">
        <v>26</v>
      </c>
      <c r="L5" s="9">
        <v>28</v>
      </c>
      <c r="M5" s="9">
        <v>30</v>
      </c>
      <c r="N5" s="9">
        <v>32</v>
      </c>
      <c r="O5" s="9">
        <v>34</v>
      </c>
      <c r="P5" s="9">
        <v>36</v>
      </c>
      <c r="Q5" s="9">
        <v>38</v>
      </c>
      <c r="R5" s="22"/>
    </row>
    <row r="6" spans="2:18" ht="35.1" customHeight="1" x14ac:dyDescent="0.25">
      <c r="B6" s="21"/>
      <c r="C6" s="11" t="s">
        <v>103</v>
      </c>
      <c r="D6" s="11" t="s">
        <v>3</v>
      </c>
      <c r="E6" s="12">
        <v>1000000</v>
      </c>
      <c r="G6" s="105" t="s">
        <v>101</v>
      </c>
      <c r="H6" s="9">
        <v>850000</v>
      </c>
      <c r="I6" s="16">
        <f t="dataTable" ref="I6:Q13" dt2D="1" dtr="1" r1="E7" r2="E6"/>
        <v>-580357.24668979074</v>
      </c>
      <c r="J6" s="16">
        <v>655448.09866890125</v>
      </c>
      <c r="K6" s="16">
        <v>1891253.4440275896</v>
      </c>
      <c r="L6" s="16">
        <v>3127058.7893862762</v>
      </c>
      <c r="M6" s="16">
        <v>4362864.1347449683</v>
      </c>
      <c r="N6" s="16">
        <v>5598669.4801036604</v>
      </c>
      <c r="O6" s="16">
        <v>6834474.8254623488</v>
      </c>
      <c r="P6" s="16">
        <v>8070280.1708210446</v>
      </c>
      <c r="Q6" s="16">
        <v>9306085.5161797293</v>
      </c>
      <c r="R6" s="22"/>
    </row>
    <row r="7" spans="2:18" ht="35.1" customHeight="1" x14ac:dyDescent="0.25">
      <c r="B7" s="21"/>
      <c r="C7" s="11" t="s">
        <v>104</v>
      </c>
      <c r="D7" s="11" t="s">
        <v>18</v>
      </c>
      <c r="E7" s="12">
        <v>28</v>
      </c>
      <c r="G7" s="106"/>
      <c r="H7" s="9">
        <v>900000</v>
      </c>
      <c r="I7" s="16">
        <v>-111318.87296566169</v>
      </c>
      <c r="J7" s="16">
        <v>1197180.9044729546</v>
      </c>
      <c r="K7" s="16">
        <v>2505680.6819115691</v>
      </c>
      <c r="L7" s="16">
        <v>3814180.4593501762</v>
      </c>
      <c r="M7" s="16">
        <v>5122680.2367887907</v>
      </c>
      <c r="N7" s="16">
        <v>6431180.0142274052</v>
      </c>
      <c r="O7" s="16">
        <v>7739679.7916660197</v>
      </c>
      <c r="P7" s="16">
        <v>9048179.5691046305</v>
      </c>
      <c r="Q7" s="16">
        <v>10356679.346543245</v>
      </c>
      <c r="R7" s="22"/>
    </row>
    <row r="8" spans="2:18" ht="35.1" customHeight="1" x14ac:dyDescent="0.25">
      <c r="B8" s="21"/>
      <c r="C8" s="11" t="s">
        <v>106</v>
      </c>
      <c r="D8" s="11" t="s">
        <v>6</v>
      </c>
      <c r="E8" s="12">
        <v>690000</v>
      </c>
      <c r="G8" s="106"/>
      <c r="H8" s="9">
        <v>950000</v>
      </c>
      <c r="I8" s="16">
        <v>357719.50075846724</v>
      </c>
      <c r="J8" s="16">
        <v>1738913.7102770042</v>
      </c>
      <c r="K8" s="16">
        <v>3120107.9197955355</v>
      </c>
      <c r="L8" s="16">
        <v>4501302.1293140724</v>
      </c>
      <c r="M8" s="16">
        <v>5882496.3388326094</v>
      </c>
      <c r="N8" s="16">
        <v>7263690.5483511463</v>
      </c>
      <c r="O8" s="16">
        <v>8644884.7578696832</v>
      </c>
      <c r="P8" s="16">
        <v>10026078.96738822</v>
      </c>
      <c r="Q8" s="16">
        <v>11407273.176906757</v>
      </c>
      <c r="R8" s="22"/>
    </row>
    <row r="9" spans="2:18" ht="35.1" customHeight="1" x14ac:dyDescent="0.25">
      <c r="B9" s="21"/>
      <c r="C9" s="11" t="s">
        <v>105</v>
      </c>
      <c r="D9" s="11" t="s">
        <v>68</v>
      </c>
      <c r="E9" s="104">
        <v>0.55000000000000004</v>
      </c>
      <c r="G9" s="106"/>
      <c r="H9" s="9">
        <v>1000000</v>
      </c>
      <c r="I9" s="16">
        <v>826757.87448259816</v>
      </c>
      <c r="J9" s="16">
        <v>2280646.5160810594</v>
      </c>
      <c r="K9" s="16">
        <v>3734535.1576795187</v>
      </c>
      <c r="L9" s="16">
        <v>5188423.7992779743</v>
      </c>
      <c r="M9" s="16">
        <v>6642312.4408764336</v>
      </c>
      <c r="N9" s="16">
        <v>8096201.0824748967</v>
      </c>
      <c r="O9" s="16">
        <v>9550089.7240733523</v>
      </c>
      <c r="P9" s="16">
        <v>11003978.365671812</v>
      </c>
      <c r="Q9" s="16">
        <v>12457867.007270271</v>
      </c>
      <c r="R9" s="22"/>
    </row>
    <row r="10" spans="2:18" ht="35.1" customHeight="1" x14ac:dyDescent="0.25">
      <c r="B10" s="21"/>
      <c r="C10" s="11" t="s">
        <v>125</v>
      </c>
      <c r="D10" s="11" t="s">
        <v>68</v>
      </c>
      <c r="E10" s="104">
        <v>0.4</v>
      </c>
      <c r="G10" s="106"/>
      <c r="H10" s="9">
        <v>1050000</v>
      </c>
      <c r="I10" s="16">
        <v>1295796.2482067272</v>
      </c>
      <c r="J10" s="16">
        <v>2822379.3218851089</v>
      </c>
      <c r="K10" s="16">
        <v>4348962.3955634944</v>
      </c>
      <c r="L10" s="16">
        <v>5875545.4692418724</v>
      </c>
      <c r="M10" s="16">
        <v>7402128.5429202542</v>
      </c>
      <c r="N10" s="16">
        <v>8928711.6165986359</v>
      </c>
      <c r="O10" s="16">
        <v>10455294.690277021</v>
      </c>
      <c r="P10" s="16">
        <v>11981877.763955403</v>
      </c>
      <c r="Q10" s="16">
        <v>13508460.837633781</v>
      </c>
      <c r="R10" s="22"/>
    </row>
    <row r="11" spans="2:18" ht="35.1" customHeight="1" x14ac:dyDescent="0.25">
      <c r="B11" s="21"/>
      <c r="C11" s="11" t="s">
        <v>127</v>
      </c>
      <c r="D11" s="11"/>
      <c r="E11" s="12">
        <v>37981000</v>
      </c>
      <c r="G11" s="106"/>
      <c r="H11" s="9">
        <v>1100000</v>
      </c>
      <c r="I11" s="16">
        <v>1764834.6219308563</v>
      </c>
      <c r="J11" s="16">
        <v>3364112.1276891604</v>
      </c>
      <c r="K11" s="16">
        <v>4963389.6334474646</v>
      </c>
      <c r="L11" s="16">
        <v>6562667.1392057687</v>
      </c>
      <c r="M11" s="16">
        <v>8161944.6449640803</v>
      </c>
      <c r="N11" s="16">
        <v>9761222.1507223807</v>
      </c>
      <c r="O11" s="16">
        <v>11360499.656480685</v>
      </c>
      <c r="P11" s="16">
        <v>12959777.162238985</v>
      </c>
      <c r="Q11" s="16">
        <v>14559054.667997297</v>
      </c>
      <c r="R11" s="22"/>
    </row>
    <row r="12" spans="2:18" ht="35.1" customHeight="1" x14ac:dyDescent="0.25">
      <c r="B12" s="21"/>
      <c r="C12" s="112" t="s">
        <v>49</v>
      </c>
      <c r="D12" s="113"/>
      <c r="E12" s="114"/>
      <c r="G12" s="106"/>
      <c r="H12" s="9">
        <v>1150000</v>
      </c>
      <c r="I12" s="16">
        <v>2233872.995654989</v>
      </c>
      <c r="J12" s="16">
        <v>3905844.9334932156</v>
      </c>
      <c r="K12" s="16">
        <v>5577816.8713314459</v>
      </c>
      <c r="L12" s="16">
        <v>7249788.8091696724</v>
      </c>
      <c r="M12" s="16">
        <v>8921760.747007899</v>
      </c>
      <c r="N12" s="16">
        <v>10593732.684846129</v>
      </c>
      <c r="O12" s="16">
        <v>12265704.622684356</v>
      </c>
      <c r="P12" s="16">
        <v>13937676.560522586</v>
      </c>
      <c r="Q12" s="16">
        <v>15609648.498360809</v>
      </c>
      <c r="R12" s="22"/>
    </row>
    <row r="13" spans="2:18" ht="35.1" customHeight="1" x14ac:dyDescent="0.25">
      <c r="B13" s="21"/>
      <c r="C13" s="11" t="s">
        <v>51</v>
      </c>
      <c r="D13" s="11" t="s">
        <v>6</v>
      </c>
      <c r="E13" s="12">
        <f>'سود و زیان'!$G$20</f>
        <v>5188423.7992779743</v>
      </c>
      <c r="G13" s="107"/>
      <c r="H13" s="9">
        <v>1200000</v>
      </c>
      <c r="I13" s="16">
        <v>2702911.3693791181</v>
      </c>
      <c r="J13" s="16">
        <v>4447577.739297267</v>
      </c>
      <c r="K13" s="16">
        <v>6192244.1092154197</v>
      </c>
      <c r="L13" s="16">
        <v>7936910.4791335687</v>
      </c>
      <c r="M13" s="16">
        <v>9681576.8490517177</v>
      </c>
      <c r="N13" s="16">
        <v>11426243.218969874</v>
      </c>
      <c r="O13" s="16">
        <v>13170909.588888023</v>
      </c>
      <c r="P13" s="16">
        <v>14915575.958806172</v>
      </c>
      <c r="Q13" s="16">
        <v>16660242.328724321</v>
      </c>
      <c r="R13" s="22"/>
    </row>
    <row r="14" spans="2:18" ht="9.9499999999999993" customHeight="1" x14ac:dyDescent="0.25"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</sheetData>
  <mergeCells count="6">
    <mergeCell ref="G6:G13"/>
    <mergeCell ref="I4:Q4"/>
    <mergeCell ref="G3:Q3"/>
    <mergeCell ref="C3:E3"/>
    <mergeCell ref="C4:E4"/>
    <mergeCell ref="C12:E12"/>
  </mergeCells>
  <conditionalFormatting sqref="I6:Q13">
    <cfRule type="colorScale" priority="1">
      <colorScale>
        <cfvo type="formula" val="$E$11/7"/>
        <cfvo type="formula" val="$E$11/6"/>
        <cfvo type="formula" val="$E$11/5"/>
        <color rgb="FFF8696B"/>
        <color rgb="FFFFEB84"/>
        <color rgb="FF63BE7B"/>
      </colorScale>
    </cfRule>
    <cfRule type="colorScale" priority="2">
      <colorScale>
        <cfvo type="formula" val="$E$11/4"/>
        <cfvo type="formula" val="$E$11/6"/>
        <cfvo type="formula" val="$E$11/7"/>
        <color rgb="FFFF5D5D"/>
        <color theme="7" tint="0.59999389629810485"/>
        <color rgb="FF00B050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F7AB-4AF9-4D4A-B530-9F2966AC9052}">
  <dimension ref="B2:O108"/>
  <sheetViews>
    <sheetView showGridLines="0" rightToLeft="1" topLeftCell="A4" zoomScaleNormal="100" workbookViewId="0">
      <selection activeCell="K8" sqref="K8"/>
    </sheetView>
  </sheetViews>
  <sheetFormatPr defaultRowHeight="30" customHeight="1" x14ac:dyDescent="0.25"/>
  <cols>
    <col min="1" max="2" width="5.7109375" style="1" customWidth="1"/>
    <col min="3" max="3" width="35.7109375" style="1" customWidth="1"/>
    <col min="4" max="4" width="11" style="1" customWidth="1"/>
    <col min="5" max="7" width="15.7109375" style="1" customWidth="1"/>
    <col min="8" max="8" width="16.5703125" style="1" customWidth="1"/>
    <col min="9" max="9" width="4.140625" style="1" customWidth="1"/>
    <col min="10" max="10" width="9.140625" style="1"/>
    <col min="11" max="12" width="11.5703125" style="1" bestFit="1" customWidth="1"/>
    <col min="13" max="14" width="9.140625" style="1"/>
    <col min="15" max="15" width="12.7109375" style="1" bestFit="1" customWidth="1"/>
    <col min="16" max="16384" width="9.140625" style="1"/>
  </cols>
  <sheetData>
    <row r="2" spans="2:12" ht="30" customHeight="1" x14ac:dyDescent="0.25">
      <c r="B2" s="117" t="s">
        <v>0</v>
      </c>
      <c r="C2" s="118"/>
      <c r="D2" s="118"/>
      <c r="E2" s="43"/>
      <c r="F2" s="43"/>
      <c r="G2" s="43"/>
      <c r="H2" s="44"/>
      <c r="I2" s="91"/>
    </row>
    <row r="3" spans="2:12" ht="9.9499999999999993" customHeight="1" x14ac:dyDescent="0.25">
      <c r="B3" s="34"/>
      <c r="H3" s="35"/>
      <c r="I3" s="35"/>
    </row>
    <row r="4" spans="2:12" ht="30" customHeight="1" x14ac:dyDescent="0.25">
      <c r="B4" s="34"/>
      <c r="C4" s="115" t="s">
        <v>7</v>
      </c>
      <c r="D4" s="116"/>
      <c r="E4" s="68"/>
      <c r="F4" s="68"/>
      <c r="G4" s="69"/>
      <c r="H4" s="69"/>
      <c r="I4" s="35"/>
    </row>
    <row r="5" spans="2:12" ht="30" customHeight="1" x14ac:dyDescent="0.25">
      <c r="B5" s="34"/>
      <c r="C5" s="32" t="s">
        <v>1</v>
      </c>
      <c r="D5" s="32" t="s">
        <v>2</v>
      </c>
      <c r="E5" s="33">
        <v>1401</v>
      </c>
      <c r="F5" s="33">
        <v>1402</v>
      </c>
      <c r="G5" s="33">
        <v>1403</v>
      </c>
      <c r="H5" s="33">
        <v>1404</v>
      </c>
      <c r="I5" s="35"/>
    </row>
    <row r="6" spans="2:12" ht="30" customHeight="1" x14ac:dyDescent="0.25">
      <c r="B6" s="34"/>
      <c r="C6" s="45" t="s">
        <v>64</v>
      </c>
      <c r="D6" s="46" t="s">
        <v>3</v>
      </c>
      <c r="E6" s="46">
        <v>478972</v>
      </c>
      <c r="F6" s="46">
        <v>464535</v>
      </c>
      <c r="G6" s="47">
        <v>429246</v>
      </c>
      <c r="H6" s="47">
        <f>$H$13*H19</f>
        <v>421652.04664001334</v>
      </c>
      <c r="I6" s="35"/>
    </row>
    <row r="7" spans="2:12" ht="30" customHeight="1" x14ac:dyDescent="0.25">
      <c r="B7" s="34"/>
      <c r="C7" s="48" t="s">
        <v>65</v>
      </c>
      <c r="D7" s="46" t="s">
        <v>3</v>
      </c>
      <c r="E7" s="49">
        <v>650162</v>
      </c>
      <c r="F7" s="49">
        <v>654903</v>
      </c>
      <c r="G7" s="50">
        <v>638591</v>
      </c>
      <c r="H7" s="47">
        <f>$H$13*H20</f>
        <v>627293.44505456719</v>
      </c>
      <c r="I7" s="35"/>
    </row>
    <row r="8" spans="2:12" ht="30" customHeight="1" x14ac:dyDescent="0.25">
      <c r="B8" s="34"/>
      <c r="C8" s="45" t="s">
        <v>66</v>
      </c>
      <c r="D8" s="46" t="s">
        <v>3</v>
      </c>
      <c r="E8" s="46">
        <v>58494</v>
      </c>
      <c r="F8" s="46">
        <v>51458</v>
      </c>
      <c r="G8" s="47">
        <v>42717</v>
      </c>
      <c r="H8" s="47">
        <f>$H$13*H21</f>
        <v>41961.277394131685</v>
      </c>
      <c r="I8" s="35"/>
    </row>
    <row r="9" spans="2:12" ht="30" customHeight="1" x14ac:dyDescent="0.25">
      <c r="B9" s="34"/>
      <c r="C9" s="115" t="s">
        <v>8</v>
      </c>
      <c r="D9" s="116"/>
      <c r="E9" s="68"/>
      <c r="F9" s="68"/>
      <c r="G9" s="69"/>
      <c r="H9" s="69"/>
      <c r="I9" s="35"/>
    </row>
    <row r="10" spans="2:12" ht="30" customHeight="1" x14ac:dyDescent="0.25">
      <c r="B10" s="34"/>
      <c r="C10" s="45" t="s">
        <v>67</v>
      </c>
      <c r="D10" s="46" t="s">
        <v>3</v>
      </c>
      <c r="E10" s="46">
        <v>0</v>
      </c>
      <c r="F10" s="46">
        <v>0</v>
      </c>
      <c r="G10" s="47">
        <v>2000</v>
      </c>
      <c r="H10" s="47">
        <v>0</v>
      </c>
      <c r="I10" s="35"/>
    </row>
    <row r="11" spans="2:12" ht="30" customHeight="1" x14ac:dyDescent="0.25">
      <c r="B11" s="34"/>
      <c r="C11" s="48" t="s">
        <v>100</v>
      </c>
      <c r="D11" s="49"/>
      <c r="E11" s="56"/>
      <c r="F11" s="56"/>
      <c r="G11" s="57"/>
      <c r="H11" s="57"/>
      <c r="I11" s="35"/>
    </row>
    <row r="12" spans="2:12" ht="30" customHeight="1" x14ac:dyDescent="0.25">
      <c r="B12" s="34"/>
      <c r="C12" s="26" t="s">
        <v>101</v>
      </c>
      <c r="D12" s="27" t="s">
        <v>3</v>
      </c>
      <c r="E12" s="27">
        <v>1110291</v>
      </c>
      <c r="F12" s="27">
        <v>1100230</v>
      </c>
      <c r="G12" s="28">
        <v>1018010</v>
      </c>
      <c r="H12" s="28">
        <f>مفروضات!E6</f>
        <v>1000000</v>
      </c>
      <c r="I12" s="35"/>
    </row>
    <row r="13" spans="2:12" ht="30" customHeight="1" x14ac:dyDescent="0.25">
      <c r="B13" s="34"/>
      <c r="C13" s="26" t="s">
        <v>99</v>
      </c>
      <c r="D13" s="27" t="s">
        <v>3</v>
      </c>
      <c r="E13" s="27">
        <f>SUBTOTAL(109,درآمد!$E$6:$E$8)+SUBTOTAL(109,درآمد!E10)</f>
        <v>1187628</v>
      </c>
      <c r="F13" s="27">
        <f>SUBTOTAL(109,درآمد!$F$6:$F$8)+SUBTOTAL(109,F10)</f>
        <v>1170896</v>
      </c>
      <c r="G13" s="28">
        <f>SUBTOTAL(109,درآمد!$G$6:$G$8)+SUBTOTAL(109,G10)</f>
        <v>1112554</v>
      </c>
      <c r="H13" s="28">
        <f>H12/H14</f>
        <v>1092871.3863321578</v>
      </c>
      <c r="I13" s="35"/>
      <c r="L13" s="93"/>
    </row>
    <row r="14" spans="2:12" ht="30" customHeight="1" x14ac:dyDescent="0.25">
      <c r="B14" s="36"/>
      <c r="C14" s="26" t="s">
        <v>102</v>
      </c>
      <c r="D14" s="27"/>
      <c r="E14" s="66">
        <f>E12/E13</f>
        <v>0.9348811243924865</v>
      </c>
      <c r="F14" s="66">
        <f t="shared" ref="F14:G14" si="0">F12/F13</f>
        <v>0.93964792774080708</v>
      </c>
      <c r="G14" s="66">
        <f t="shared" si="0"/>
        <v>0.91502075404879224</v>
      </c>
      <c r="H14" s="67">
        <f>G14</f>
        <v>0.91502075404879224</v>
      </c>
      <c r="I14" s="38"/>
    </row>
    <row r="16" spans="2:12" ht="30" customHeight="1" x14ac:dyDescent="0.25">
      <c r="B16" s="117" t="s">
        <v>5</v>
      </c>
      <c r="C16" s="118"/>
      <c r="D16" s="118"/>
      <c r="E16" s="43"/>
      <c r="F16" s="43"/>
      <c r="G16" s="43"/>
      <c r="H16" s="44"/>
      <c r="I16" s="91"/>
    </row>
    <row r="17" spans="2:14" ht="9.9499999999999993" customHeight="1" x14ac:dyDescent="0.25">
      <c r="B17" s="34"/>
      <c r="H17" s="35"/>
      <c r="I17" s="35"/>
    </row>
    <row r="18" spans="2:14" ht="30" customHeight="1" x14ac:dyDescent="0.25">
      <c r="B18" s="34"/>
      <c r="C18" s="32" t="s">
        <v>1</v>
      </c>
      <c r="D18" s="32" t="s">
        <v>2</v>
      </c>
      <c r="E18" s="33">
        <v>1401</v>
      </c>
      <c r="F18" s="33">
        <v>1402</v>
      </c>
      <c r="G18" s="33">
        <v>1403</v>
      </c>
      <c r="H18" s="33">
        <v>1404</v>
      </c>
      <c r="I18" s="35"/>
    </row>
    <row r="19" spans="2:14" ht="30" customHeight="1" x14ac:dyDescent="0.25">
      <c r="B19" s="34"/>
      <c r="C19" s="45" t="s">
        <v>64</v>
      </c>
      <c r="D19" s="46" t="s">
        <v>68</v>
      </c>
      <c r="E19" s="54">
        <f>E6/$E$13</f>
        <v>0.40330137046280484</v>
      </c>
      <c r="F19" s="54">
        <f>F6/$F$13</f>
        <v>0.39673463740588405</v>
      </c>
      <c r="G19" s="55">
        <f>G6/$G$13</f>
        <v>0.38582037366276156</v>
      </c>
      <c r="H19" s="55">
        <v>0.38582037366276156</v>
      </c>
      <c r="I19" s="35"/>
    </row>
    <row r="20" spans="2:14" ht="30" customHeight="1" x14ac:dyDescent="0.25">
      <c r="B20" s="34"/>
      <c r="C20" s="48" t="s">
        <v>65</v>
      </c>
      <c r="D20" s="46" t="s">
        <v>68</v>
      </c>
      <c r="E20" s="54">
        <f>E7/$E$13</f>
        <v>0.54744583320703111</v>
      </c>
      <c r="F20" s="54">
        <f>F7/$F$13</f>
        <v>0.55931782156570697</v>
      </c>
      <c r="G20" s="55">
        <f>G7/$G$13</f>
        <v>0.57398652110369475</v>
      </c>
      <c r="H20" s="55">
        <v>0.57398652110369475</v>
      </c>
      <c r="I20" s="35"/>
    </row>
    <row r="21" spans="2:14" ht="30" customHeight="1" x14ac:dyDescent="0.25">
      <c r="B21" s="34"/>
      <c r="C21" s="45" t="s">
        <v>66</v>
      </c>
      <c r="D21" s="46" t="s">
        <v>68</v>
      </c>
      <c r="E21" s="54">
        <f>E8/$E$13</f>
        <v>4.9252796330163988E-2</v>
      </c>
      <c r="F21" s="54">
        <f>F8/$F$13</f>
        <v>4.3947541028409011E-2</v>
      </c>
      <c r="G21" s="55">
        <f>G8/$G$13</f>
        <v>3.8395439682028916E-2</v>
      </c>
      <c r="H21" s="55">
        <v>3.8395439682028916E-2</v>
      </c>
      <c r="I21" s="35"/>
    </row>
    <row r="22" spans="2:14" ht="30" customHeight="1" x14ac:dyDescent="0.25">
      <c r="B22" s="34"/>
      <c r="C22" s="48" t="s">
        <v>67</v>
      </c>
      <c r="D22" s="46" t="s">
        <v>68</v>
      </c>
      <c r="E22" s="54">
        <f>E10/$E$13</f>
        <v>0</v>
      </c>
      <c r="F22" s="54">
        <f>F10/$F$13</f>
        <v>0</v>
      </c>
      <c r="G22" s="89">
        <f>G10/G13</f>
        <v>1.797665551514803E-3</v>
      </c>
      <c r="H22" s="89">
        <v>0</v>
      </c>
      <c r="I22" s="35"/>
    </row>
    <row r="23" spans="2:14" ht="30" customHeight="1" x14ac:dyDescent="0.25">
      <c r="B23" s="34"/>
      <c r="C23" s="45"/>
      <c r="D23" s="46"/>
      <c r="E23" s="54"/>
      <c r="F23" s="54"/>
      <c r="G23" s="55"/>
      <c r="H23" s="55"/>
      <c r="I23" s="35"/>
    </row>
    <row r="24" spans="2:14" ht="30" customHeight="1" x14ac:dyDescent="0.25">
      <c r="B24" s="34"/>
      <c r="C24" s="2"/>
      <c r="D24" s="3"/>
      <c r="E24" s="61"/>
      <c r="F24" s="61"/>
      <c r="G24" s="62"/>
      <c r="H24" s="62"/>
      <c r="I24" s="35"/>
    </row>
    <row r="25" spans="2:14" ht="30" customHeight="1" x14ac:dyDescent="0.25">
      <c r="B25" s="36"/>
      <c r="C25" s="37"/>
      <c r="D25" s="37"/>
      <c r="E25" s="37"/>
      <c r="F25" s="37"/>
      <c r="G25" s="37"/>
      <c r="H25" s="37"/>
      <c r="I25" s="38"/>
    </row>
    <row r="27" spans="2:14" ht="30" customHeight="1" x14ac:dyDescent="0.25">
      <c r="B27" s="117" t="s">
        <v>54</v>
      </c>
      <c r="C27" s="118"/>
      <c r="D27" s="118"/>
      <c r="E27" s="43"/>
      <c r="F27" s="43"/>
      <c r="G27" s="43"/>
      <c r="H27" s="44"/>
      <c r="I27" s="91"/>
      <c r="J27"/>
      <c r="K27"/>
      <c r="L27"/>
      <c r="M27"/>
      <c r="N27"/>
    </row>
    <row r="28" spans="2:14" ht="9.9499999999999993" customHeight="1" x14ac:dyDescent="0.25">
      <c r="B28" s="34"/>
      <c r="H28" s="35"/>
      <c r="I28" s="35"/>
      <c r="J28"/>
      <c r="K28"/>
      <c r="L28"/>
      <c r="M28"/>
      <c r="N28"/>
    </row>
    <row r="29" spans="2:14" ht="30" customHeight="1" x14ac:dyDescent="0.25">
      <c r="B29" s="34"/>
      <c r="C29" s="115" t="s">
        <v>14</v>
      </c>
      <c r="D29" s="116"/>
      <c r="E29" s="68"/>
      <c r="F29" s="68"/>
      <c r="G29" s="69"/>
      <c r="H29" s="69"/>
      <c r="I29" s="35"/>
      <c r="J29"/>
      <c r="K29"/>
      <c r="L29"/>
      <c r="M29"/>
      <c r="N29"/>
    </row>
    <row r="30" spans="2:14" ht="30" customHeight="1" x14ac:dyDescent="0.25">
      <c r="B30" s="34"/>
      <c r="C30" s="32" t="s">
        <v>1</v>
      </c>
      <c r="D30" s="32" t="s">
        <v>2</v>
      </c>
      <c r="E30" s="33">
        <v>1401</v>
      </c>
      <c r="F30" s="33">
        <v>1402</v>
      </c>
      <c r="G30" s="33">
        <v>1403</v>
      </c>
      <c r="H30" s="33">
        <v>1404</v>
      </c>
      <c r="I30" s="35"/>
      <c r="J30"/>
      <c r="K30"/>
      <c r="L30"/>
      <c r="M30"/>
      <c r="N30"/>
    </row>
    <row r="31" spans="2:14" ht="30" customHeight="1" x14ac:dyDescent="0.25">
      <c r="B31" s="34"/>
      <c r="C31" s="45" t="s">
        <v>64</v>
      </c>
      <c r="D31" s="46" t="s">
        <v>3</v>
      </c>
      <c r="E31" s="46">
        <v>483004</v>
      </c>
      <c r="F31" s="46">
        <v>468491</v>
      </c>
      <c r="G31" s="47">
        <v>426811</v>
      </c>
      <c r="H31" s="45">
        <f>$H$36*H43</f>
        <v>420179.75484773668</v>
      </c>
      <c r="I31" s="35"/>
      <c r="J31"/>
      <c r="K31"/>
      <c r="L31"/>
      <c r="M31"/>
      <c r="N31"/>
    </row>
    <row r="32" spans="2:14" ht="30" customHeight="1" x14ac:dyDescent="0.25">
      <c r="B32" s="34"/>
      <c r="C32" s="48" t="s">
        <v>65</v>
      </c>
      <c r="D32" s="49" t="s">
        <v>3</v>
      </c>
      <c r="E32" s="49">
        <v>650162</v>
      </c>
      <c r="F32" s="49">
        <v>654903</v>
      </c>
      <c r="G32" s="50">
        <v>638591</v>
      </c>
      <c r="H32" s="45">
        <f>$H$36*H44</f>
        <v>628669.38721816218</v>
      </c>
      <c r="I32" s="35"/>
      <c r="J32"/>
      <c r="K32"/>
      <c r="L32"/>
      <c r="M32"/>
      <c r="N32"/>
    </row>
    <row r="33" spans="2:13" ht="30" customHeight="1" x14ac:dyDescent="0.25">
      <c r="B33" s="34"/>
      <c r="C33" s="45" t="s">
        <v>66</v>
      </c>
      <c r="D33" s="46" t="s">
        <v>3</v>
      </c>
      <c r="E33" s="46">
        <v>58494</v>
      </c>
      <c r="F33" s="46">
        <v>51458</v>
      </c>
      <c r="G33" s="47">
        <v>42717</v>
      </c>
      <c r="H33" s="45">
        <f>$H$36*H45</f>
        <v>42053.317716344631</v>
      </c>
      <c r="I33" s="35"/>
      <c r="K33" s="95"/>
      <c r="L33" s="95"/>
      <c r="M33" s="95"/>
    </row>
    <row r="34" spans="2:13" ht="30" customHeight="1" x14ac:dyDescent="0.25">
      <c r="B34" s="34"/>
      <c r="C34" s="115" t="s">
        <v>15</v>
      </c>
      <c r="D34" s="116"/>
      <c r="E34" s="68"/>
      <c r="F34" s="68"/>
      <c r="G34" s="69"/>
      <c r="H34" s="69"/>
      <c r="I34" s="35"/>
    </row>
    <row r="35" spans="2:13" ht="30" customHeight="1" x14ac:dyDescent="0.25">
      <c r="B35" s="34"/>
      <c r="C35" s="63" t="s">
        <v>67</v>
      </c>
      <c r="D35" s="64" t="s">
        <v>3</v>
      </c>
      <c r="E35" s="64">
        <v>0</v>
      </c>
      <c r="F35" s="64">
        <v>0</v>
      </c>
      <c r="G35" s="65">
        <v>2000</v>
      </c>
      <c r="H35" s="65">
        <f>H36*H47</f>
        <v>0</v>
      </c>
      <c r="I35" s="35"/>
    </row>
    <row r="36" spans="2:13" ht="30" customHeight="1" x14ac:dyDescent="0.25">
      <c r="B36" s="34"/>
      <c r="C36" s="26" t="s">
        <v>4</v>
      </c>
      <c r="D36" s="27"/>
      <c r="E36" s="27">
        <f>SUBTOTAL(109,درآمد!$E$31:$E$33)+SUBTOTAL(109,درآمد!$E$35:$E$35)</f>
        <v>1191660</v>
      </c>
      <c r="F36" s="27">
        <f>SUBTOTAL(109,درآمد!$F$31:$F$33)+SUBTOTAL(109,درآمد!$F$35:$F$35)</f>
        <v>1174852</v>
      </c>
      <c r="G36" s="28">
        <f>SUBTOTAL(109,$G$31:$G$33)+SUBTOTAL(109,$G$35:$G$35)</f>
        <v>1110119</v>
      </c>
      <c r="H36" s="28">
        <f>H13</f>
        <v>1092871.3863321578</v>
      </c>
      <c r="I36" s="35"/>
    </row>
    <row r="37" spans="2:13" ht="30" customHeight="1" x14ac:dyDescent="0.25">
      <c r="B37" s="36"/>
      <c r="C37" s="37"/>
      <c r="D37" s="37"/>
      <c r="E37" s="37"/>
      <c r="F37" s="37"/>
      <c r="G37" s="37"/>
      <c r="H37" s="38"/>
      <c r="I37" s="38"/>
    </row>
    <row r="39" spans="2:13" ht="30" customHeight="1" x14ac:dyDescent="0.25">
      <c r="B39" s="117" t="s">
        <v>55</v>
      </c>
      <c r="C39" s="118"/>
      <c r="D39" s="118"/>
      <c r="E39" s="43"/>
      <c r="F39" s="43"/>
      <c r="G39" s="43"/>
      <c r="H39" s="44"/>
      <c r="I39" s="91"/>
    </row>
    <row r="40" spans="2:13" ht="9.9499999999999993" customHeight="1" x14ac:dyDescent="0.25">
      <c r="B40" s="34"/>
      <c r="H40" s="35"/>
      <c r="I40" s="35"/>
    </row>
    <row r="41" spans="2:13" ht="30" customHeight="1" x14ac:dyDescent="0.25">
      <c r="B41" s="34"/>
      <c r="C41" s="115" t="s">
        <v>9</v>
      </c>
      <c r="D41" s="116"/>
      <c r="E41" s="68"/>
      <c r="F41" s="68"/>
      <c r="G41" s="69"/>
      <c r="H41" s="69"/>
      <c r="I41" s="35"/>
    </row>
    <row r="42" spans="2:13" ht="30" customHeight="1" x14ac:dyDescent="0.25">
      <c r="B42" s="34"/>
      <c r="C42" s="32" t="s">
        <v>1</v>
      </c>
      <c r="D42" s="32" t="s">
        <v>2</v>
      </c>
      <c r="E42" s="33">
        <v>1401</v>
      </c>
      <c r="F42" s="33">
        <v>1402</v>
      </c>
      <c r="G42" s="33">
        <v>1403</v>
      </c>
      <c r="H42" s="33">
        <v>1404</v>
      </c>
      <c r="I42" s="35"/>
    </row>
    <row r="43" spans="2:13" ht="30" customHeight="1" x14ac:dyDescent="0.25">
      <c r="B43" s="34"/>
      <c r="C43" s="54" t="s">
        <v>64</v>
      </c>
      <c r="D43" s="54" t="s">
        <v>68</v>
      </c>
      <c r="E43" s="54">
        <f>E31/$E$36</f>
        <v>0.40532030948424885</v>
      </c>
      <c r="F43" s="54">
        <f>F31/$F$36</f>
        <v>0.3987659722245866</v>
      </c>
      <c r="G43" s="54">
        <f>G31/$G$36</f>
        <v>0.38447319611681269</v>
      </c>
      <c r="H43" s="54">
        <v>0.38447319611681269</v>
      </c>
      <c r="I43" s="35"/>
    </row>
    <row r="44" spans="2:13" ht="30" customHeight="1" x14ac:dyDescent="0.25">
      <c r="B44" s="34"/>
      <c r="C44" s="56" t="s">
        <v>65</v>
      </c>
      <c r="D44" s="56" t="s">
        <v>68</v>
      </c>
      <c r="E44" s="56">
        <f>E32/$E$36</f>
        <v>0.54559354178205188</v>
      </c>
      <c r="F44" s="56">
        <f>F32/$F$36</f>
        <v>0.55743446834154431</v>
      </c>
      <c r="G44" s="56">
        <f>G32/$G$36</f>
        <v>0.57524553673975498</v>
      </c>
      <c r="H44" s="56">
        <v>0.57524553673975498</v>
      </c>
      <c r="I44" s="35"/>
    </row>
    <row r="45" spans="2:13" ht="30" customHeight="1" x14ac:dyDescent="0.25">
      <c r="B45" s="34"/>
      <c r="C45" s="54" t="s">
        <v>66</v>
      </c>
      <c r="D45" s="54" t="s">
        <v>68</v>
      </c>
      <c r="E45" s="54">
        <f>E33/$E$36</f>
        <v>4.9086148733699209E-2</v>
      </c>
      <c r="F45" s="54">
        <f>F33/$F$36</f>
        <v>4.3799559433869116E-2</v>
      </c>
      <c r="G45" s="54">
        <f>G33/$G$36</f>
        <v>3.8479658487063098E-2</v>
      </c>
      <c r="H45" s="54">
        <v>3.8479658487063098E-2</v>
      </c>
      <c r="I45" s="35"/>
    </row>
    <row r="46" spans="2:13" ht="30" customHeight="1" x14ac:dyDescent="0.25">
      <c r="B46" s="34"/>
      <c r="C46" s="115" t="s">
        <v>11</v>
      </c>
      <c r="D46" s="116"/>
      <c r="E46" s="68"/>
      <c r="F46" s="68"/>
      <c r="G46" s="69"/>
      <c r="H46" s="69"/>
      <c r="I46" s="35"/>
    </row>
    <row r="47" spans="2:13" ht="30" customHeight="1" x14ac:dyDescent="0.25">
      <c r="B47" s="34"/>
      <c r="C47" s="45" t="s">
        <v>67</v>
      </c>
      <c r="D47" s="46" t="s">
        <v>68</v>
      </c>
      <c r="E47" s="54">
        <v>0</v>
      </c>
      <c r="F47" s="54">
        <v>0</v>
      </c>
      <c r="G47" s="90">
        <v>1.8016086563692722E-3</v>
      </c>
      <c r="H47" s="90">
        <v>0</v>
      </c>
      <c r="I47" s="35"/>
    </row>
    <row r="48" spans="2:13" ht="30" customHeight="1" x14ac:dyDescent="0.25">
      <c r="B48" s="34"/>
      <c r="C48" s="26" t="s">
        <v>4</v>
      </c>
      <c r="D48" s="66"/>
      <c r="E48" s="66">
        <f>SUBTOTAL(109,درآمد!$E$43:$E$45)+SUBTOTAL(109,درآمد!$E$47:$E$47)</f>
        <v>0.99999999999999989</v>
      </c>
      <c r="F48" s="66">
        <f>SUBTOTAL(109,درآمد!$F$43:$F$45)+SUBTOTAL(109,درآمد!$F$47:$F$47)</f>
        <v>1</v>
      </c>
      <c r="G48" s="67">
        <f>SUBTOTAL(109,درآمد!$G$43:$G$45)+SUBTOTAL(109,درآمد!$G$47:$G$47)</f>
        <v>1.0000000000000002</v>
      </c>
      <c r="H48" s="67">
        <f>SUBTOTAL(109,$H$43:$H$45)+SUBTOTAL(109,$H$47:$H$47)</f>
        <v>0.99819839134363086</v>
      </c>
      <c r="I48" s="35"/>
    </row>
    <row r="49" spans="2:15" ht="30" customHeight="1" x14ac:dyDescent="0.25">
      <c r="B49" s="36"/>
      <c r="C49" s="37"/>
      <c r="D49" s="37"/>
      <c r="E49" s="37"/>
      <c r="F49" s="37"/>
      <c r="G49" s="37"/>
      <c r="H49" s="38"/>
      <c r="I49" s="38"/>
    </row>
    <row r="51" spans="2:15" ht="30" customHeight="1" x14ac:dyDescent="0.25">
      <c r="B51" s="117" t="s">
        <v>57</v>
      </c>
      <c r="C51" s="118"/>
      <c r="D51" s="118"/>
      <c r="E51" s="43"/>
      <c r="F51" s="43"/>
      <c r="G51" s="43"/>
      <c r="H51" s="44"/>
    </row>
    <row r="52" spans="2:15" ht="30" customHeight="1" x14ac:dyDescent="0.25">
      <c r="B52" s="34"/>
      <c r="H52" s="35"/>
    </row>
    <row r="53" spans="2:15" ht="30" customHeight="1" x14ac:dyDescent="0.25">
      <c r="B53" s="34"/>
      <c r="C53" s="115" t="s">
        <v>12</v>
      </c>
      <c r="D53" s="116"/>
      <c r="E53" s="68"/>
      <c r="F53" s="68"/>
      <c r="G53" s="69"/>
      <c r="H53" s="69"/>
    </row>
    <row r="54" spans="2:15" ht="30" customHeight="1" x14ac:dyDescent="0.25">
      <c r="B54" s="34"/>
      <c r="C54" s="32" t="s">
        <v>1</v>
      </c>
      <c r="D54" s="32" t="s">
        <v>2</v>
      </c>
      <c r="E54" s="33">
        <v>1401</v>
      </c>
      <c r="F54" s="33">
        <v>1402</v>
      </c>
      <c r="G54" s="33">
        <v>1403</v>
      </c>
      <c r="H54" s="33">
        <v>1404</v>
      </c>
    </row>
    <row r="55" spans="2:15" ht="30" customHeight="1" x14ac:dyDescent="0.25">
      <c r="B55" s="34"/>
      <c r="C55" s="46" t="s">
        <v>64</v>
      </c>
      <c r="D55" s="54"/>
      <c r="E55" s="46">
        <v>5127053</v>
      </c>
      <c r="F55" s="46">
        <v>7398023</v>
      </c>
      <c r="G55" s="46">
        <v>12723646</v>
      </c>
      <c r="H55" s="46">
        <f>H56*H69</f>
        <v>17545751.366679039</v>
      </c>
      <c r="K55" s="94"/>
      <c r="L55" s="94"/>
      <c r="M55" s="94"/>
      <c r="N55" s="92"/>
      <c r="O55" s="96"/>
    </row>
    <row r="56" spans="2:15" ht="30" customHeight="1" x14ac:dyDescent="0.25">
      <c r="B56" s="34"/>
      <c r="C56" s="49" t="s">
        <v>65</v>
      </c>
      <c r="D56" s="56"/>
      <c r="E56" s="49">
        <v>6050337</v>
      </c>
      <c r="F56" s="49">
        <v>8445106</v>
      </c>
      <c r="G56" s="49">
        <v>12709882</v>
      </c>
      <c r="H56" s="49">
        <f>H64*H65</f>
        <v>19320000</v>
      </c>
      <c r="K56" s="94"/>
      <c r="L56" s="94"/>
      <c r="M56" s="94"/>
      <c r="N56" s="92"/>
    </row>
    <row r="57" spans="2:15" ht="30" customHeight="1" x14ac:dyDescent="0.25">
      <c r="B57" s="34"/>
      <c r="C57" s="46" t="s">
        <v>66</v>
      </c>
      <c r="D57" s="54"/>
      <c r="E57" s="46">
        <v>6127022</v>
      </c>
      <c r="F57" s="46">
        <v>8861965</v>
      </c>
      <c r="G57" s="46">
        <v>13034085</v>
      </c>
      <c r="H57" s="46">
        <f>H56*H71</f>
        <v>19883779.898012616</v>
      </c>
      <c r="K57" s="94"/>
      <c r="L57" s="94"/>
      <c r="M57" s="94"/>
      <c r="N57" s="92"/>
    </row>
    <row r="58" spans="2:15" ht="30" customHeight="1" x14ac:dyDescent="0.25">
      <c r="B58" s="34"/>
      <c r="C58" s="115" t="s">
        <v>13</v>
      </c>
      <c r="D58" s="116"/>
      <c r="E58" s="68"/>
      <c r="F58" s="68"/>
      <c r="G58" s="69"/>
      <c r="H58" s="69"/>
    </row>
    <row r="59" spans="2:15" ht="30" customHeight="1" x14ac:dyDescent="0.25">
      <c r="B59" s="34"/>
      <c r="C59" s="83" t="s">
        <v>67</v>
      </c>
      <c r="D59" s="84"/>
      <c r="E59" s="84">
        <v>0</v>
      </c>
      <c r="F59" s="84">
        <v>0</v>
      </c>
      <c r="G59" s="85">
        <v>17835000</v>
      </c>
      <c r="H59" s="85">
        <v>0</v>
      </c>
    </row>
    <row r="60" spans="2:15" ht="30" customHeight="1" x14ac:dyDescent="0.25">
      <c r="B60" s="36"/>
      <c r="C60" s="37"/>
      <c r="D60" s="37"/>
      <c r="E60" s="37"/>
      <c r="F60" s="37"/>
      <c r="G60" s="37"/>
      <c r="H60" s="38"/>
    </row>
    <row r="62" spans="2:15" ht="30" customHeight="1" x14ac:dyDescent="0.25">
      <c r="B62" s="117" t="s">
        <v>107</v>
      </c>
      <c r="C62" s="118"/>
      <c r="D62" s="118"/>
      <c r="E62" s="43"/>
      <c r="F62" s="43"/>
      <c r="G62" s="43"/>
      <c r="H62" s="43"/>
    </row>
    <row r="63" spans="2:15" ht="30" customHeight="1" x14ac:dyDescent="0.25">
      <c r="B63" s="119" t="s">
        <v>1</v>
      </c>
      <c r="C63" s="119"/>
      <c r="D63" s="33" t="s">
        <v>2</v>
      </c>
      <c r="E63" s="33">
        <v>1401</v>
      </c>
      <c r="F63" s="33">
        <v>1402</v>
      </c>
      <c r="G63" s="33">
        <v>1403</v>
      </c>
      <c r="H63" s="33">
        <v>1404</v>
      </c>
    </row>
    <row r="64" spans="2:15" ht="30" customHeight="1" x14ac:dyDescent="0.25">
      <c r="B64" s="45"/>
      <c r="C64" s="46" t="s">
        <v>108</v>
      </c>
      <c r="D64" s="46" t="s">
        <v>18</v>
      </c>
      <c r="E64" s="46">
        <f>E56/E65</f>
        <v>15.994884565663936</v>
      </c>
      <c r="F64" s="47">
        <f>F56/F65</f>
        <v>20.107395238095236</v>
      </c>
      <c r="G64" s="47">
        <f>G56/G65</f>
        <v>20.835872131147539</v>
      </c>
      <c r="H64" s="47">
        <f>مفروضات!E7</f>
        <v>28</v>
      </c>
    </row>
    <row r="65" spans="2:8" ht="30" customHeight="1" x14ac:dyDescent="0.25">
      <c r="B65" s="86"/>
      <c r="C65" s="87" t="s">
        <v>109</v>
      </c>
      <c r="D65" s="87" t="s">
        <v>110</v>
      </c>
      <c r="E65" s="87">
        <v>378267</v>
      </c>
      <c r="F65" s="88">
        <v>420000</v>
      </c>
      <c r="G65" s="88">
        <v>610000</v>
      </c>
      <c r="H65" s="86">
        <f>مفروضات!E8</f>
        <v>690000</v>
      </c>
    </row>
    <row r="67" spans="2:8" ht="30" customHeight="1" x14ac:dyDescent="0.25">
      <c r="B67" s="117" t="s">
        <v>111</v>
      </c>
      <c r="C67" s="118"/>
      <c r="D67" s="118"/>
      <c r="E67" s="43"/>
      <c r="F67" s="43"/>
      <c r="G67" s="43"/>
      <c r="H67" s="44"/>
    </row>
    <row r="68" spans="2:8" ht="30" customHeight="1" x14ac:dyDescent="0.25">
      <c r="B68" s="119" t="s">
        <v>1</v>
      </c>
      <c r="C68" s="119"/>
      <c r="D68" s="33"/>
      <c r="E68" s="33">
        <v>1401</v>
      </c>
      <c r="F68" s="33">
        <v>1402</v>
      </c>
      <c r="G68" s="33">
        <v>1403</v>
      </c>
      <c r="H68" s="33">
        <v>1404</v>
      </c>
    </row>
    <row r="69" spans="2:8" ht="30" customHeight="1" x14ac:dyDescent="0.25">
      <c r="B69" s="45"/>
      <c r="C69" s="46" t="s">
        <v>112</v>
      </c>
      <c r="D69" s="46"/>
      <c r="E69" s="54">
        <f>E55/$E$56</f>
        <v>0.84739957460220816</v>
      </c>
      <c r="F69" s="55">
        <f>F55/F56</f>
        <v>0.87601304234665611</v>
      </c>
      <c r="G69" s="98">
        <f>G55/G56</f>
        <v>1.001082936883285</v>
      </c>
      <c r="H69" s="54">
        <f>AVERAGE(E69:G69)</f>
        <v>0.90816518461071638</v>
      </c>
    </row>
    <row r="70" spans="2:8" ht="30" customHeight="1" x14ac:dyDescent="0.25">
      <c r="B70" s="48"/>
      <c r="C70" s="49" t="s">
        <v>113</v>
      </c>
      <c r="D70" s="49"/>
      <c r="E70" s="56">
        <f>E56/$E$56</f>
        <v>1</v>
      </c>
      <c r="F70" s="56">
        <f>F56/$F$56</f>
        <v>1</v>
      </c>
      <c r="G70" s="56">
        <f>G56/$G$56</f>
        <v>1</v>
      </c>
      <c r="H70" s="56">
        <f>AVERAGE(E70:G70)</f>
        <v>1</v>
      </c>
    </row>
    <row r="71" spans="2:8" ht="30" customHeight="1" x14ac:dyDescent="0.25">
      <c r="B71" s="45"/>
      <c r="C71" s="46" t="s">
        <v>114</v>
      </c>
      <c r="D71" s="46"/>
      <c r="E71" s="54">
        <f>E57/E56</f>
        <v>1.0126745006104618</v>
      </c>
      <c r="F71" s="54">
        <f>F57/F56</f>
        <v>1.0493610145331509</v>
      </c>
      <c r="G71" s="54">
        <f>G57/G56</f>
        <v>1.0255079472807065</v>
      </c>
      <c r="H71" s="54">
        <f>AVERAGE(E71:G71)</f>
        <v>1.0291811541414397</v>
      </c>
    </row>
    <row r="72" spans="2:8" ht="30" customHeight="1" x14ac:dyDescent="0.25">
      <c r="G72"/>
    </row>
    <row r="73" spans="2:8" ht="30" customHeight="1" x14ac:dyDescent="0.25">
      <c r="B73" s="117" t="s">
        <v>56</v>
      </c>
      <c r="C73" s="118"/>
      <c r="D73" s="118"/>
      <c r="E73" s="43"/>
      <c r="F73" s="43"/>
      <c r="G73" s="43"/>
      <c r="H73" s="44"/>
    </row>
    <row r="74" spans="2:8" ht="9.9499999999999993" customHeight="1" x14ac:dyDescent="0.25">
      <c r="B74" s="34"/>
      <c r="H74" s="35"/>
    </row>
    <row r="75" spans="2:8" ht="30" customHeight="1" x14ac:dyDescent="0.25">
      <c r="B75" s="34"/>
      <c r="C75" s="115" t="s">
        <v>10</v>
      </c>
      <c r="D75" s="116"/>
      <c r="E75" s="68"/>
      <c r="F75" s="68"/>
      <c r="G75" s="69"/>
      <c r="H75" s="69"/>
    </row>
    <row r="76" spans="2:8" ht="30" customHeight="1" x14ac:dyDescent="0.25">
      <c r="B76" s="34"/>
      <c r="C76" s="32" t="s">
        <v>1</v>
      </c>
      <c r="D76" s="32" t="s">
        <v>2</v>
      </c>
      <c r="E76" s="33">
        <v>1401</v>
      </c>
      <c r="F76" s="33">
        <v>1402</v>
      </c>
      <c r="G76" s="33">
        <v>1403</v>
      </c>
      <c r="H76" s="33">
        <v>1404</v>
      </c>
    </row>
    <row r="77" spans="2:8" ht="30" customHeight="1" x14ac:dyDescent="0.25">
      <c r="B77" s="34"/>
      <c r="C77" s="46" t="s">
        <v>64</v>
      </c>
      <c r="D77" s="46"/>
      <c r="E77" s="46">
        <v>2476387</v>
      </c>
      <c r="F77" s="46">
        <v>3465907</v>
      </c>
      <c r="G77" s="46">
        <v>5430592</v>
      </c>
      <c r="H77" s="46">
        <f>H31*H55/1000000</f>
        <v>7372369.5078705391</v>
      </c>
    </row>
    <row r="78" spans="2:8" ht="30" customHeight="1" x14ac:dyDescent="0.25">
      <c r="B78" s="34"/>
      <c r="C78" s="49" t="s">
        <v>65</v>
      </c>
      <c r="D78" s="49"/>
      <c r="E78" s="49">
        <v>3933699</v>
      </c>
      <c r="F78" s="49">
        <v>5530725</v>
      </c>
      <c r="G78" s="49">
        <v>8116416</v>
      </c>
      <c r="H78" s="49">
        <f>H32*H56/1000000</f>
        <v>12145892.561054893</v>
      </c>
    </row>
    <row r="79" spans="2:8" ht="30" customHeight="1" x14ac:dyDescent="0.25">
      <c r="B79" s="34"/>
      <c r="C79" s="46" t="s">
        <v>66</v>
      </c>
      <c r="D79" s="46"/>
      <c r="E79" s="46">
        <v>358394</v>
      </c>
      <c r="F79" s="46">
        <v>456019</v>
      </c>
      <c r="G79" s="46">
        <v>556777</v>
      </c>
      <c r="H79" s="46">
        <f>H33*H57/1000000</f>
        <v>836178.91345299117</v>
      </c>
    </row>
    <row r="80" spans="2:8" ht="30" customHeight="1" x14ac:dyDescent="0.25">
      <c r="B80" s="34"/>
      <c r="C80" s="115" t="s">
        <v>16</v>
      </c>
      <c r="D80" s="116"/>
      <c r="E80" s="68"/>
      <c r="F80" s="68"/>
      <c r="G80" s="69"/>
      <c r="H80" s="69"/>
    </row>
    <row r="81" spans="2:8" ht="30" customHeight="1" x14ac:dyDescent="0.25">
      <c r="B81" s="34"/>
      <c r="C81" s="45" t="s">
        <v>67</v>
      </c>
      <c r="D81" s="46"/>
      <c r="E81" s="46">
        <v>0</v>
      </c>
      <c r="F81" s="46">
        <v>0</v>
      </c>
      <c r="G81" s="47">
        <v>35670</v>
      </c>
      <c r="H81" s="47">
        <v>0</v>
      </c>
    </row>
    <row r="82" spans="2:8" ht="30" customHeight="1" x14ac:dyDescent="0.25">
      <c r="B82" s="34"/>
      <c r="C82" s="26" t="s">
        <v>4</v>
      </c>
      <c r="D82" s="27"/>
      <c r="E82" s="27">
        <f>SUBTOTAL(109,درآمد!$E$77:$E$79)+SUBTOTAL(109,درآمد!$E$81:$E$81)</f>
        <v>6768480</v>
      </c>
      <c r="F82" s="27">
        <f>SUBTOTAL(109,درآمد!$F$77:$F$79)+SUBTOTAL(109,درآمد!$F$81:$F$81)</f>
        <v>9452651</v>
      </c>
      <c r="G82" s="28">
        <f>SUBTOTAL(109,درآمد!$G$77:$G$79)+SUBTOTAL(109,درآمد!$G$81:$G$81)</f>
        <v>14139455</v>
      </c>
      <c r="H82" s="28">
        <f>SUBTOTAL(109,$H$77:$H$79)+SUBTOTAL(109,$H$81)</f>
        <v>20354440.982378423</v>
      </c>
    </row>
    <row r="83" spans="2:8" ht="5.0999999999999996" customHeight="1" x14ac:dyDescent="0.25">
      <c r="B83" s="34"/>
    </row>
    <row r="88" spans="2:8" ht="9.9499999999999993" customHeight="1" x14ac:dyDescent="0.25"/>
    <row r="108" ht="9.9499999999999993" customHeight="1" x14ac:dyDescent="0.25"/>
  </sheetData>
  <mergeCells count="20">
    <mergeCell ref="C41:D41"/>
    <mergeCell ref="C9:D9"/>
    <mergeCell ref="C4:D4"/>
    <mergeCell ref="B2:D2"/>
    <mergeCell ref="B39:D39"/>
    <mergeCell ref="C34:D34"/>
    <mergeCell ref="C29:D29"/>
    <mergeCell ref="B27:D27"/>
    <mergeCell ref="B16:D16"/>
    <mergeCell ref="C58:D58"/>
    <mergeCell ref="C53:D53"/>
    <mergeCell ref="B51:D51"/>
    <mergeCell ref="C46:D46"/>
    <mergeCell ref="B62:D62"/>
    <mergeCell ref="C80:D80"/>
    <mergeCell ref="C75:D75"/>
    <mergeCell ref="B73:D73"/>
    <mergeCell ref="B63:C63"/>
    <mergeCell ref="B67:D67"/>
    <mergeCell ref="B68:C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851B-6FB9-4DF7-8483-FD5760127BD5}">
  <dimension ref="B2:N105"/>
  <sheetViews>
    <sheetView showGridLines="0" rightToLeft="1" topLeftCell="A55" workbookViewId="0">
      <selection activeCell="L62" sqref="L62"/>
    </sheetView>
  </sheetViews>
  <sheetFormatPr defaultRowHeight="30" customHeight="1" x14ac:dyDescent="0.25"/>
  <cols>
    <col min="1" max="2" width="5.7109375" style="1" customWidth="1"/>
    <col min="3" max="3" width="25.7109375" style="1" customWidth="1"/>
    <col min="4" max="4" width="11" style="1" customWidth="1"/>
    <col min="5" max="8" width="15.7109375" style="1" customWidth="1"/>
    <col min="9" max="9" width="5" style="1" customWidth="1"/>
    <col min="10" max="16384" width="9.140625" style="1"/>
  </cols>
  <sheetData>
    <row r="2" spans="2:9" ht="30" customHeight="1" x14ac:dyDescent="0.25">
      <c r="B2" s="117" t="s">
        <v>19</v>
      </c>
      <c r="C2" s="118"/>
      <c r="D2" s="118"/>
      <c r="E2" s="43"/>
      <c r="F2" s="43"/>
      <c r="G2" s="43"/>
      <c r="H2" s="43"/>
      <c r="I2" s="44"/>
    </row>
    <row r="3" spans="2:9" ht="9.9499999999999993" customHeight="1" x14ac:dyDescent="0.25">
      <c r="B3" s="34"/>
      <c r="I3" s="35"/>
    </row>
    <row r="4" spans="2:9" ht="30" customHeight="1" x14ac:dyDescent="0.25">
      <c r="B4" s="34"/>
      <c r="C4" s="32" t="s">
        <v>1</v>
      </c>
      <c r="D4" s="32" t="s">
        <v>2</v>
      </c>
      <c r="E4" s="33">
        <v>1401</v>
      </c>
      <c r="F4" s="33">
        <v>1402</v>
      </c>
      <c r="G4" s="33">
        <v>1403</v>
      </c>
      <c r="H4" s="33">
        <v>1404</v>
      </c>
      <c r="I4" s="35"/>
    </row>
    <row r="5" spans="2:9" ht="30" customHeight="1" x14ac:dyDescent="0.25">
      <c r="B5" s="34"/>
      <c r="C5" s="46" t="s">
        <v>69</v>
      </c>
      <c r="D5" s="46" t="s">
        <v>3</v>
      </c>
      <c r="E5" s="46">
        <v>1420212</v>
      </c>
      <c r="F5" s="46">
        <v>1470741</v>
      </c>
      <c r="G5" s="46">
        <v>1374410</v>
      </c>
      <c r="H5" s="46">
        <f>H13*H21</f>
        <v>1321995.8303678692</v>
      </c>
      <c r="I5" s="35"/>
    </row>
    <row r="6" spans="2:9" ht="30" customHeight="1" x14ac:dyDescent="0.25">
      <c r="B6" s="34"/>
      <c r="C6" s="49" t="s">
        <v>74</v>
      </c>
      <c r="D6" s="49" t="s">
        <v>3</v>
      </c>
      <c r="E6" s="49">
        <v>353429</v>
      </c>
      <c r="F6" s="49">
        <v>304735</v>
      </c>
      <c r="G6" s="49">
        <v>275702</v>
      </c>
      <c r="H6" s="46">
        <f>H14*H22</f>
        <v>315519.04005782731</v>
      </c>
      <c r="I6" s="35"/>
    </row>
    <row r="7" spans="2:9" ht="30" customHeight="1" x14ac:dyDescent="0.25">
      <c r="B7" s="34"/>
      <c r="C7" s="46" t="s">
        <v>70</v>
      </c>
      <c r="D7" s="46" t="s">
        <v>3</v>
      </c>
      <c r="E7" s="46">
        <v>44765</v>
      </c>
      <c r="F7" s="46">
        <v>34955</v>
      </c>
      <c r="G7" s="46">
        <v>36021</v>
      </c>
      <c r="H7" s="46">
        <f>H13*H23</f>
        <v>35824.209182461789</v>
      </c>
      <c r="I7" s="35"/>
    </row>
    <row r="8" spans="2:9" ht="30" customHeight="1" x14ac:dyDescent="0.25">
      <c r="B8" s="34"/>
      <c r="C8" s="49" t="s">
        <v>72</v>
      </c>
      <c r="D8" s="49" t="s">
        <v>3</v>
      </c>
      <c r="E8" s="49">
        <v>48681</v>
      </c>
      <c r="F8" s="49">
        <v>59431</v>
      </c>
      <c r="G8" s="49">
        <v>74191</v>
      </c>
      <c r="H8" s="49">
        <f>H14*H24</f>
        <v>76500.997043251045</v>
      </c>
      <c r="I8" s="35"/>
    </row>
    <row r="9" spans="2:9" ht="30" customHeight="1" x14ac:dyDescent="0.25">
      <c r="B9" s="34"/>
      <c r="C9" s="46" t="s">
        <v>73</v>
      </c>
      <c r="D9" s="46" t="s">
        <v>3</v>
      </c>
      <c r="E9" s="46">
        <v>8475</v>
      </c>
      <c r="F9" s="46">
        <v>2135</v>
      </c>
      <c r="G9" s="46">
        <v>0</v>
      </c>
      <c r="H9" s="46">
        <v>0</v>
      </c>
      <c r="I9" s="35"/>
    </row>
    <row r="10" spans="2:9" ht="30" customHeight="1" x14ac:dyDescent="0.25">
      <c r="B10" s="34"/>
      <c r="C10" s="49" t="s">
        <v>75</v>
      </c>
      <c r="D10" s="49" t="s">
        <v>3</v>
      </c>
      <c r="E10" s="49">
        <v>0</v>
      </c>
      <c r="F10" s="49">
        <v>0</v>
      </c>
      <c r="G10" s="49">
        <v>20000</v>
      </c>
      <c r="H10" s="49">
        <v>0</v>
      </c>
      <c r="I10" s="35"/>
    </row>
    <row r="11" spans="2:9" ht="30" customHeight="1" x14ac:dyDescent="0.25">
      <c r="B11" s="34"/>
      <c r="C11" s="46" t="s">
        <v>71</v>
      </c>
      <c r="D11" s="46" t="s">
        <v>3</v>
      </c>
      <c r="E11" s="46">
        <v>18760</v>
      </c>
      <c r="F11" s="46">
        <v>7538</v>
      </c>
      <c r="G11" s="46">
        <v>5232</v>
      </c>
      <c r="H11" s="46">
        <f>H13*H27</f>
        <v>9629.0682411977396</v>
      </c>
      <c r="I11" s="35"/>
    </row>
    <row r="12" spans="2:9" ht="30" customHeight="1" x14ac:dyDescent="0.25">
      <c r="B12" s="34"/>
      <c r="C12" s="51" t="s">
        <v>24</v>
      </c>
      <c r="D12" s="52"/>
      <c r="E12" s="52">
        <f>SUBTOTAL(109,'بهای تمام شده'!$E$5:$E$11)</f>
        <v>1894322</v>
      </c>
      <c r="F12" s="52">
        <f>SUBTOTAL(109,'بهای تمام شده'!$F$5:$F$11)</f>
        <v>1879535</v>
      </c>
      <c r="G12" s="53">
        <f>SUBTOTAL(109,'بهای تمام شده'!$G$5:$G$11)</f>
        <v>1785556</v>
      </c>
      <c r="H12" s="53">
        <f>SUBTOTAL(109,H5:H11)</f>
        <v>1759469.1448926071</v>
      </c>
      <c r="I12" s="35"/>
    </row>
    <row r="13" spans="2:9" ht="30" customHeight="1" x14ac:dyDescent="0.25">
      <c r="B13" s="34"/>
      <c r="C13" s="39" t="s">
        <v>116</v>
      </c>
      <c r="D13" s="39"/>
      <c r="E13" s="39">
        <f>درآمد!E12</f>
        <v>1110291</v>
      </c>
      <c r="F13" s="39">
        <f>درآمد!F12</f>
        <v>1100230</v>
      </c>
      <c r="G13" s="39">
        <f>درآمد!G12</f>
        <v>1018010</v>
      </c>
      <c r="H13" s="39">
        <f>درآمد!H12</f>
        <v>1000000</v>
      </c>
      <c r="I13" s="35"/>
    </row>
    <row r="14" spans="2:9" ht="31.5" customHeight="1" x14ac:dyDescent="0.25">
      <c r="B14" s="34"/>
      <c r="C14" s="39" t="s">
        <v>115</v>
      </c>
      <c r="D14" s="39"/>
      <c r="E14" s="39">
        <f>درآمد!E13</f>
        <v>1187628</v>
      </c>
      <c r="F14" s="39">
        <f>درآمد!F13</f>
        <v>1170896</v>
      </c>
      <c r="G14" s="39">
        <f>درآمد!G13</f>
        <v>1112554</v>
      </c>
      <c r="H14" s="39">
        <f>درآمد!H13</f>
        <v>1092871.3863321578</v>
      </c>
      <c r="I14" s="35"/>
    </row>
    <row r="15" spans="2:9" ht="30" customHeight="1" x14ac:dyDescent="0.25">
      <c r="B15" s="34"/>
      <c r="C15" s="39" t="s">
        <v>20</v>
      </c>
      <c r="D15" s="39"/>
      <c r="E15" s="39">
        <f>درآمد!$E$36</f>
        <v>1191660</v>
      </c>
      <c r="F15" s="39">
        <f>درآمد!$F$36</f>
        <v>1174852</v>
      </c>
      <c r="G15" s="39">
        <f>درآمد!$G$36</f>
        <v>1110119</v>
      </c>
      <c r="H15" s="39">
        <f>درآمد!H36</f>
        <v>1092871.3863321578</v>
      </c>
      <c r="I15" s="35"/>
    </row>
    <row r="16" spans="2:9" ht="30" customHeight="1" x14ac:dyDescent="0.25">
      <c r="B16" s="36"/>
      <c r="C16" s="37"/>
      <c r="D16" s="37"/>
      <c r="E16" s="37"/>
      <c r="F16" s="37"/>
      <c r="G16" s="37"/>
      <c r="H16" s="37"/>
      <c r="I16" s="38"/>
    </row>
    <row r="18" spans="2:11" ht="30" customHeight="1" x14ac:dyDescent="0.25">
      <c r="B18" s="117" t="s">
        <v>21</v>
      </c>
      <c r="C18" s="118"/>
      <c r="D18" s="118"/>
      <c r="E18" s="43"/>
      <c r="F18" s="43"/>
      <c r="G18" s="43"/>
      <c r="H18" s="43"/>
      <c r="I18" s="44"/>
    </row>
    <row r="19" spans="2:11" ht="9.9499999999999993" customHeight="1" x14ac:dyDescent="0.25">
      <c r="B19" s="34"/>
      <c r="I19" s="35"/>
    </row>
    <row r="20" spans="2:11" ht="30" customHeight="1" x14ac:dyDescent="0.25">
      <c r="B20" s="34"/>
      <c r="C20" s="32" t="s">
        <v>1</v>
      </c>
      <c r="D20" s="32" t="s">
        <v>2</v>
      </c>
      <c r="E20" s="33">
        <v>1401</v>
      </c>
      <c r="F20" s="33">
        <v>1402</v>
      </c>
      <c r="G20" s="33">
        <v>1403</v>
      </c>
      <c r="H20" s="33">
        <v>1404</v>
      </c>
      <c r="I20" s="35"/>
    </row>
    <row r="21" spans="2:11" ht="30" customHeight="1" x14ac:dyDescent="0.25">
      <c r="B21" s="34"/>
      <c r="C21" s="45" t="s">
        <v>69</v>
      </c>
      <c r="D21" s="46"/>
      <c r="E21" s="54">
        <f>E5/E13</f>
        <v>1.2791349294914576</v>
      </c>
      <c r="F21" s="54">
        <f>F5/F13</f>
        <v>1.3367577688301537</v>
      </c>
      <c r="G21" s="54">
        <f>G5/G13</f>
        <v>1.3500947927819962</v>
      </c>
      <c r="H21" s="54">
        <f>AVERAGE(E21:G21)</f>
        <v>1.3219958303678692</v>
      </c>
      <c r="I21" s="35"/>
      <c r="K21" s="92"/>
    </row>
    <row r="22" spans="2:11" ht="30" customHeight="1" x14ac:dyDescent="0.25">
      <c r="B22" s="34"/>
      <c r="C22" s="48" t="s">
        <v>74</v>
      </c>
      <c r="D22" s="49"/>
      <c r="E22" s="56">
        <f>E6/E13</f>
        <v>0.31832105276904882</v>
      </c>
      <c r="F22" s="56">
        <f t="shared" ref="F22:G22" si="0">F6/F13</f>
        <v>0.27697390545613187</v>
      </c>
      <c r="G22" s="56">
        <f t="shared" si="0"/>
        <v>0.27082445162621194</v>
      </c>
      <c r="H22" s="56">
        <f t="shared" ref="H22:H27" si="1">AVERAGE(E22:G22)</f>
        <v>0.28870646995046423</v>
      </c>
      <c r="I22" s="35"/>
      <c r="K22" s="92"/>
    </row>
    <row r="23" spans="2:11" ht="30" customHeight="1" x14ac:dyDescent="0.25">
      <c r="B23" s="34"/>
      <c r="C23" s="45" t="s">
        <v>70</v>
      </c>
      <c r="D23" s="46"/>
      <c r="E23" s="54">
        <f>E7/E13</f>
        <v>4.0318258906899183E-2</v>
      </c>
      <c r="F23" s="54">
        <f t="shared" ref="F23:G23" si="2">F7/F13</f>
        <v>3.177062977741018E-2</v>
      </c>
      <c r="G23" s="54">
        <f t="shared" si="2"/>
        <v>3.5383738863076004E-2</v>
      </c>
      <c r="H23" s="54">
        <f t="shared" si="1"/>
        <v>3.5824209182461791E-2</v>
      </c>
      <c r="I23" s="35"/>
      <c r="K23" s="92"/>
    </row>
    <row r="24" spans="2:11" ht="30" customHeight="1" x14ac:dyDescent="0.25">
      <c r="B24" s="34"/>
      <c r="C24" s="48" t="s">
        <v>72</v>
      </c>
      <c r="D24" s="49"/>
      <c r="E24" s="56">
        <f>E8/E14</f>
        <v>4.0990108013620428E-2</v>
      </c>
      <c r="F24" s="56">
        <f t="shared" ref="F24" si="3">F8/F14</f>
        <v>5.0756856287834273E-2</v>
      </c>
      <c r="G24" s="56">
        <f>G8/G14</f>
        <v>6.6685302466217372E-2</v>
      </c>
      <c r="H24" s="56">
        <v>7.0000000000000007E-2</v>
      </c>
      <c r="I24" s="35"/>
      <c r="K24" s="92"/>
    </row>
    <row r="25" spans="2:11" ht="30" customHeight="1" x14ac:dyDescent="0.25">
      <c r="B25" s="34"/>
      <c r="C25" s="45" t="s">
        <v>73</v>
      </c>
      <c r="D25" s="46"/>
      <c r="E25" s="54">
        <v>0</v>
      </c>
      <c r="F25" s="54">
        <v>0</v>
      </c>
      <c r="G25" s="55">
        <v>0</v>
      </c>
      <c r="H25" s="54">
        <f t="shared" si="1"/>
        <v>0</v>
      </c>
      <c r="I25" s="35"/>
      <c r="K25" s="92"/>
    </row>
    <row r="26" spans="2:11" ht="30" customHeight="1" x14ac:dyDescent="0.25">
      <c r="B26" s="34"/>
      <c r="C26" s="48" t="s">
        <v>75</v>
      </c>
      <c r="D26" s="49"/>
      <c r="E26" s="56">
        <f>E10/E13</f>
        <v>0</v>
      </c>
      <c r="F26" s="56">
        <f t="shared" ref="F26:G26" si="4">F10/F13</f>
        <v>0</v>
      </c>
      <c r="G26" s="56">
        <f t="shared" si="4"/>
        <v>1.9646172434455458E-2</v>
      </c>
      <c r="H26" s="56">
        <v>0</v>
      </c>
      <c r="I26" s="35"/>
      <c r="K26" s="92"/>
    </row>
    <row r="27" spans="2:11" ht="30" customHeight="1" x14ac:dyDescent="0.25">
      <c r="B27" s="34"/>
      <c r="C27" s="45" t="s">
        <v>71</v>
      </c>
      <c r="D27" s="46"/>
      <c r="E27" s="54">
        <f>E11/E13</f>
        <v>1.6896471285455794E-2</v>
      </c>
      <c r="F27" s="54">
        <f t="shared" ref="F27:G27" si="5">F11/F13</f>
        <v>6.8512947292838772E-3</v>
      </c>
      <c r="G27" s="54">
        <f t="shared" si="5"/>
        <v>5.1394387088535476E-3</v>
      </c>
      <c r="H27" s="54">
        <f t="shared" si="1"/>
        <v>9.6290682411977399E-3</v>
      </c>
      <c r="I27" s="35"/>
      <c r="K27" s="92"/>
    </row>
    <row r="28" spans="2:11" ht="30" customHeight="1" x14ac:dyDescent="0.25">
      <c r="B28" s="36"/>
      <c r="C28" s="37"/>
      <c r="D28" s="37"/>
      <c r="E28" s="37"/>
      <c r="F28" s="37"/>
      <c r="G28" s="37"/>
      <c r="H28" s="37"/>
      <c r="I28" s="38"/>
    </row>
    <row r="30" spans="2:11" ht="30" customHeight="1" x14ac:dyDescent="0.25">
      <c r="B30" s="117" t="s">
        <v>22</v>
      </c>
      <c r="C30" s="118"/>
      <c r="D30" s="118"/>
      <c r="E30" s="43"/>
      <c r="F30" s="43"/>
      <c r="G30" s="43"/>
      <c r="H30" s="43"/>
      <c r="I30" s="44"/>
    </row>
    <row r="31" spans="2:11" ht="9.9499999999999993" customHeight="1" x14ac:dyDescent="0.25">
      <c r="B31" s="34"/>
      <c r="I31" s="35"/>
    </row>
    <row r="32" spans="2:11" ht="30" customHeight="1" x14ac:dyDescent="0.25">
      <c r="B32" s="34"/>
      <c r="C32" s="32" t="s">
        <v>1</v>
      </c>
      <c r="D32" s="32" t="s">
        <v>2</v>
      </c>
      <c r="E32" s="33">
        <v>1401</v>
      </c>
      <c r="F32" s="33">
        <v>1402</v>
      </c>
      <c r="G32" s="33">
        <v>1403</v>
      </c>
      <c r="H32" s="33">
        <v>1404</v>
      </c>
      <c r="I32" s="35"/>
    </row>
    <row r="33" spans="2:9" ht="30" customHeight="1" x14ac:dyDescent="0.25">
      <c r="B33" s="34"/>
      <c r="C33" s="46" t="s">
        <v>69</v>
      </c>
      <c r="D33" s="46" t="s">
        <v>6</v>
      </c>
      <c r="E33" s="46">
        <v>362342</v>
      </c>
      <c r="F33" s="46">
        <v>483585</v>
      </c>
      <c r="G33" s="46">
        <v>640352</v>
      </c>
      <c r="H33" s="46">
        <f>G33*(1+مفروضات!$E$10)</f>
        <v>896492.79999999993</v>
      </c>
      <c r="I33" s="35"/>
    </row>
    <row r="34" spans="2:9" ht="30" customHeight="1" x14ac:dyDescent="0.25">
      <c r="B34" s="34"/>
      <c r="C34" s="49" t="s">
        <v>74</v>
      </c>
      <c r="D34" s="49" t="s">
        <v>6</v>
      </c>
      <c r="E34" s="49">
        <v>127327</v>
      </c>
      <c r="F34" s="49">
        <v>181696</v>
      </c>
      <c r="G34" s="49">
        <v>238268</v>
      </c>
      <c r="H34" s="49">
        <f>G34*(1+مفروضات!$E$10)</f>
        <v>333575.19999999995</v>
      </c>
      <c r="I34" s="35"/>
    </row>
    <row r="35" spans="2:9" ht="30" customHeight="1" x14ac:dyDescent="0.25">
      <c r="B35" s="34"/>
      <c r="C35" s="46" t="s">
        <v>70</v>
      </c>
      <c r="D35" s="46" t="s">
        <v>6</v>
      </c>
      <c r="E35" s="46">
        <v>4056182</v>
      </c>
      <c r="F35" s="46">
        <v>4712459</v>
      </c>
      <c r="G35" s="46">
        <v>5899392</v>
      </c>
      <c r="H35" s="46">
        <f>G35*(1+مفروضات!$E$10)</f>
        <v>8259148.7999999998</v>
      </c>
      <c r="I35" s="35"/>
    </row>
    <row r="36" spans="2:9" ht="30" customHeight="1" x14ac:dyDescent="0.25">
      <c r="B36" s="34"/>
      <c r="C36" s="49" t="s">
        <v>72</v>
      </c>
      <c r="D36" s="49" t="s">
        <v>6</v>
      </c>
      <c r="E36" s="49">
        <v>1617489</v>
      </c>
      <c r="F36" s="49">
        <v>2540223</v>
      </c>
      <c r="G36" s="49">
        <v>4304511</v>
      </c>
      <c r="H36" s="49">
        <f>G36*(1+مفروضات!$E$10)</f>
        <v>6026315.3999999994</v>
      </c>
      <c r="I36" s="35"/>
    </row>
    <row r="37" spans="2:9" ht="30" customHeight="1" x14ac:dyDescent="0.25">
      <c r="B37" s="34"/>
      <c r="C37" s="46" t="s">
        <v>73</v>
      </c>
      <c r="D37" s="46" t="s">
        <v>6</v>
      </c>
      <c r="E37" s="46">
        <v>304071</v>
      </c>
      <c r="F37" s="46">
        <v>303981</v>
      </c>
      <c r="G37" s="46">
        <v>0</v>
      </c>
      <c r="H37" s="46">
        <f>G37*(1+مفروضات!$E$10)</f>
        <v>0</v>
      </c>
      <c r="I37" s="35"/>
    </row>
    <row r="38" spans="2:9" ht="30" customHeight="1" x14ac:dyDescent="0.25">
      <c r="B38" s="34"/>
      <c r="C38" s="49" t="s">
        <v>75</v>
      </c>
      <c r="D38" s="49" t="s">
        <v>6</v>
      </c>
      <c r="E38" s="49">
        <v>0</v>
      </c>
      <c r="F38" s="49">
        <v>0</v>
      </c>
      <c r="G38" s="49">
        <v>9739850</v>
      </c>
      <c r="H38" s="49">
        <f>G38*(1+مفروضات!$E$10)</f>
        <v>13635790</v>
      </c>
      <c r="I38" s="35"/>
    </row>
    <row r="39" spans="2:9" ht="30" customHeight="1" x14ac:dyDescent="0.25">
      <c r="B39" s="34"/>
      <c r="C39" s="46" t="s">
        <v>71</v>
      </c>
      <c r="D39" s="46" t="s">
        <v>6</v>
      </c>
      <c r="E39" s="46">
        <v>2650053</v>
      </c>
      <c r="F39" s="46">
        <v>3449529</v>
      </c>
      <c r="G39" s="46">
        <v>3827982</v>
      </c>
      <c r="H39" s="46">
        <f>G39*(1+مفروضات!$E$10)</f>
        <v>5359174.8</v>
      </c>
      <c r="I39" s="35"/>
    </row>
    <row r="40" spans="2:9" ht="30" customHeight="1" x14ac:dyDescent="0.25">
      <c r="B40" s="36"/>
      <c r="C40" s="37"/>
      <c r="D40" s="37"/>
      <c r="E40" s="37"/>
      <c r="F40" s="37"/>
      <c r="G40" s="37"/>
      <c r="H40" s="37"/>
      <c r="I40" s="38"/>
    </row>
    <row r="43" spans="2:9" ht="30" customHeight="1" x14ac:dyDescent="0.25">
      <c r="B43" s="117" t="s">
        <v>23</v>
      </c>
      <c r="C43" s="118"/>
      <c r="D43" s="118"/>
      <c r="E43" s="43"/>
      <c r="F43" s="43"/>
      <c r="G43" s="43"/>
      <c r="H43" s="43"/>
      <c r="I43" s="44"/>
    </row>
    <row r="44" spans="2:9" ht="9.9499999999999993" customHeight="1" x14ac:dyDescent="0.25">
      <c r="B44" s="34"/>
      <c r="I44" s="35"/>
    </row>
    <row r="45" spans="2:9" ht="30" customHeight="1" x14ac:dyDescent="0.25">
      <c r="B45" s="34"/>
      <c r="C45" s="32" t="s">
        <v>1</v>
      </c>
      <c r="D45" s="32" t="s">
        <v>2</v>
      </c>
      <c r="E45" s="33">
        <v>1401</v>
      </c>
      <c r="F45" s="33">
        <v>1402</v>
      </c>
      <c r="G45" s="33">
        <v>1403</v>
      </c>
      <c r="H45" s="33">
        <v>1404</v>
      </c>
      <c r="I45" s="35"/>
    </row>
    <row r="46" spans="2:9" ht="30" customHeight="1" x14ac:dyDescent="0.25">
      <c r="B46" s="34"/>
      <c r="C46" s="46" t="s">
        <v>69</v>
      </c>
      <c r="D46" s="46" t="s">
        <v>76</v>
      </c>
      <c r="E46" s="46">
        <v>514602</v>
      </c>
      <c r="F46" s="46">
        <v>711229</v>
      </c>
      <c r="G46" s="46">
        <v>880106</v>
      </c>
      <c r="H46" s="46">
        <f>(H5*H33)/1000000</f>
        <v>1185159.7435548159</v>
      </c>
      <c r="I46" s="35"/>
    </row>
    <row r="47" spans="2:9" ht="30" customHeight="1" x14ac:dyDescent="0.25">
      <c r="B47" s="34"/>
      <c r="C47" s="49" t="s">
        <v>74</v>
      </c>
      <c r="D47" s="49" t="s">
        <v>76</v>
      </c>
      <c r="E47" s="49">
        <v>45001</v>
      </c>
      <c r="F47" s="49">
        <v>55369</v>
      </c>
      <c r="G47" s="49">
        <v>65691</v>
      </c>
      <c r="H47" s="49">
        <f>(H6*H34)/1000000</f>
        <v>105249.32689109775</v>
      </c>
      <c r="I47" s="35"/>
    </row>
    <row r="48" spans="2:9" ht="30" customHeight="1" x14ac:dyDescent="0.25">
      <c r="B48" s="34"/>
      <c r="C48" s="46" t="s">
        <v>70</v>
      </c>
      <c r="D48" s="46" t="s">
        <v>76</v>
      </c>
      <c r="E48" s="46">
        <v>181575</v>
      </c>
      <c r="F48" s="46">
        <v>164724</v>
      </c>
      <c r="G48" s="46">
        <v>212502</v>
      </c>
      <c r="H48" s="46">
        <f>(H7*H35)/1000000</f>
        <v>295877.47428027826</v>
      </c>
      <c r="I48" s="35"/>
    </row>
    <row r="49" spans="2:14" ht="30" customHeight="1" x14ac:dyDescent="0.25">
      <c r="B49" s="34"/>
      <c r="C49" s="49" t="s">
        <v>72</v>
      </c>
      <c r="D49" s="49" t="s">
        <v>76</v>
      </c>
      <c r="E49" s="49">
        <v>78741</v>
      </c>
      <c r="F49" s="49">
        <v>150968</v>
      </c>
      <c r="G49" s="49">
        <v>319356</v>
      </c>
      <c r="H49" s="49">
        <f>(H8*H36)/1000000</f>
        <v>461019.1365970982</v>
      </c>
      <c r="I49" s="35"/>
    </row>
    <row r="50" spans="2:14" ht="30" customHeight="1" x14ac:dyDescent="0.25">
      <c r="B50" s="34"/>
      <c r="C50" s="46" t="s">
        <v>73</v>
      </c>
      <c r="D50" s="46" t="s">
        <v>76</v>
      </c>
      <c r="E50" s="46">
        <v>2577</v>
      </c>
      <c r="F50" s="46">
        <v>649</v>
      </c>
      <c r="G50" s="46">
        <v>0</v>
      </c>
      <c r="H50" s="46">
        <f t="shared" ref="H50:H52" si="6">(H9*H37)/1000000</f>
        <v>0</v>
      </c>
      <c r="I50" s="35"/>
    </row>
    <row r="51" spans="2:14" ht="30" customHeight="1" x14ac:dyDescent="0.25">
      <c r="B51" s="34"/>
      <c r="C51" s="49" t="s">
        <v>75</v>
      </c>
      <c r="D51" s="49" t="s">
        <v>76</v>
      </c>
      <c r="E51" s="49">
        <v>0</v>
      </c>
      <c r="F51" s="49">
        <v>0</v>
      </c>
      <c r="G51" s="49">
        <v>194797</v>
      </c>
      <c r="H51" s="49">
        <f t="shared" si="6"/>
        <v>0</v>
      </c>
      <c r="I51" s="35"/>
    </row>
    <row r="52" spans="2:14" ht="30" customHeight="1" x14ac:dyDescent="0.25">
      <c r="B52" s="34"/>
      <c r="C52" s="46" t="s">
        <v>71</v>
      </c>
      <c r="D52" s="46" t="s">
        <v>76</v>
      </c>
      <c r="E52" s="46">
        <v>49715</v>
      </c>
      <c r="F52" s="46">
        <v>26006</v>
      </c>
      <c r="G52" s="46">
        <v>20028</v>
      </c>
      <c r="H52" s="46">
        <f t="shared" si="6"/>
        <v>51603.859865707243</v>
      </c>
      <c r="I52" s="35"/>
    </row>
    <row r="53" spans="2:14" ht="30" customHeight="1" x14ac:dyDescent="0.25">
      <c r="B53" s="34"/>
      <c r="C53" s="51" t="s">
        <v>24</v>
      </c>
      <c r="D53" s="52"/>
      <c r="E53" s="52">
        <f>SUBTOTAL(109,'بهای تمام شده'!$E$46:$E$52)</f>
        <v>872211</v>
      </c>
      <c r="F53" s="52">
        <f>SUBTOTAL(109,'بهای تمام شده'!$F$46:$F$52)</f>
        <v>1108945</v>
      </c>
      <c r="G53" s="53">
        <f>SUBTOTAL(109,'بهای تمام شده'!$G$46:$G$52)</f>
        <v>1692480</v>
      </c>
      <c r="H53" s="39">
        <f>SUBTOTAL(109,$H$46:$H$52)</f>
        <v>2098909.5411889972</v>
      </c>
      <c r="I53" s="35"/>
      <c r="K53" s="92"/>
      <c r="L53" s="92"/>
      <c r="M53" s="92"/>
      <c r="N53" s="92"/>
    </row>
    <row r="54" spans="2:14" ht="30" customHeight="1" x14ac:dyDescent="0.25">
      <c r="B54" s="36"/>
      <c r="C54" s="37"/>
      <c r="D54" s="37"/>
      <c r="E54" s="37"/>
      <c r="F54" s="37"/>
      <c r="G54" s="37"/>
      <c r="H54" s="37"/>
      <c r="I54" s="38"/>
    </row>
    <row r="56" spans="2:14" ht="30" customHeight="1" x14ac:dyDescent="0.25">
      <c r="B56" s="117" t="s">
        <v>25</v>
      </c>
      <c r="C56" s="118"/>
      <c r="D56" s="118"/>
      <c r="E56" s="43"/>
      <c r="F56" s="43"/>
      <c r="G56" s="43"/>
      <c r="H56" s="43"/>
      <c r="I56" s="44"/>
    </row>
    <row r="57" spans="2:14" ht="9.9499999999999993" customHeight="1" x14ac:dyDescent="0.25">
      <c r="B57" s="34"/>
      <c r="I57" s="35"/>
    </row>
    <row r="58" spans="2:14" ht="30" customHeight="1" x14ac:dyDescent="0.25">
      <c r="B58" s="34"/>
      <c r="C58" s="32" t="s">
        <v>1</v>
      </c>
      <c r="D58" s="32" t="s">
        <v>2</v>
      </c>
      <c r="E58" s="33">
        <v>1401</v>
      </c>
      <c r="F58" s="33">
        <v>1402</v>
      </c>
      <c r="G58" s="33">
        <v>1403</v>
      </c>
      <c r="H58" s="33">
        <v>1404</v>
      </c>
      <c r="I58" s="35"/>
    </row>
    <row r="59" spans="2:14" ht="30" customHeight="1" x14ac:dyDescent="0.25">
      <c r="B59" s="34"/>
      <c r="C59" s="45" t="s">
        <v>77</v>
      </c>
      <c r="D59" s="46"/>
      <c r="E59" s="46">
        <v>1052830</v>
      </c>
      <c r="F59" s="46">
        <v>1458307</v>
      </c>
      <c r="G59" s="47">
        <v>2223338</v>
      </c>
      <c r="H59" s="46">
        <f>G59*(1+مفروضات!$E$10)</f>
        <v>3112673.1999999997</v>
      </c>
      <c r="I59" s="35"/>
    </row>
    <row r="60" spans="2:14" ht="30" customHeight="1" x14ac:dyDescent="0.25">
      <c r="B60" s="34"/>
      <c r="C60" s="48" t="s">
        <v>78</v>
      </c>
      <c r="D60" s="49"/>
      <c r="E60" s="49">
        <v>100217</v>
      </c>
      <c r="F60" s="49">
        <v>171941</v>
      </c>
      <c r="G60" s="50">
        <v>288015</v>
      </c>
      <c r="H60" s="49">
        <f>G60*(1+مفروضات!$E$10)</f>
        <v>403221</v>
      </c>
      <c r="I60" s="35"/>
    </row>
    <row r="61" spans="2:14" ht="30" customHeight="1" x14ac:dyDescent="0.25">
      <c r="B61" s="34"/>
      <c r="C61" s="45" t="s">
        <v>79</v>
      </c>
      <c r="D61" s="46"/>
      <c r="E61" s="46">
        <v>1090393</v>
      </c>
      <c r="F61" s="46">
        <v>1782572</v>
      </c>
      <c r="G61" s="47">
        <v>2557773</v>
      </c>
      <c r="H61" s="46">
        <f>'هزینه انرژی'!H35</f>
        <v>4513098.041911453</v>
      </c>
      <c r="I61" s="35"/>
    </row>
    <row r="62" spans="2:14" ht="30" customHeight="1" x14ac:dyDescent="0.25">
      <c r="B62" s="34"/>
      <c r="C62" s="48" t="s">
        <v>80</v>
      </c>
      <c r="D62" s="49"/>
      <c r="E62" s="49">
        <v>951003</v>
      </c>
      <c r="F62" s="49">
        <v>1244217</v>
      </c>
      <c r="G62" s="50">
        <v>1470910</v>
      </c>
      <c r="H62" s="49">
        <f>G62*(1+مفروضات!$E$10)</f>
        <v>2059273.9999999998</v>
      </c>
      <c r="I62" s="35"/>
    </row>
    <row r="63" spans="2:14" ht="30" customHeight="1" x14ac:dyDescent="0.25">
      <c r="B63" s="34"/>
      <c r="C63" s="45" t="s">
        <v>81</v>
      </c>
      <c r="D63" s="46"/>
      <c r="E63" s="46">
        <v>0</v>
      </c>
      <c r="F63" s="46">
        <v>0</v>
      </c>
      <c r="G63" s="47">
        <v>0</v>
      </c>
      <c r="H63" s="46">
        <f>G63*(1+مفروضات!$E$10)</f>
        <v>0</v>
      </c>
      <c r="I63" s="35"/>
    </row>
    <row r="64" spans="2:14" ht="30" customHeight="1" x14ac:dyDescent="0.25">
      <c r="B64" s="34"/>
      <c r="C64" s="48" t="s">
        <v>82</v>
      </c>
      <c r="D64" s="49"/>
      <c r="E64" s="49">
        <v>0</v>
      </c>
      <c r="F64" s="49">
        <v>0</v>
      </c>
      <c r="G64" s="50">
        <v>0</v>
      </c>
      <c r="H64" s="49">
        <f>G64*(1+مفروضات!$E$10)</f>
        <v>0</v>
      </c>
      <c r="I64" s="35"/>
    </row>
    <row r="65" spans="2:9" ht="30" customHeight="1" x14ac:dyDescent="0.25">
      <c r="B65" s="34"/>
      <c r="C65" s="45" t="s">
        <v>83</v>
      </c>
      <c r="D65" s="46"/>
      <c r="E65" s="46">
        <v>0</v>
      </c>
      <c r="F65" s="46">
        <v>0</v>
      </c>
      <c r="G65" s="47">
        <v>0</v>
      </c>
      <c r="H65" s="46">
        <f>G65*(1+مفروضات!$E$10)</f>
        <v>0</v>
      </c>
      <c r="I65" s="35"/>
    </row>
    <row r="66" spans="2:9" ht="30" customHeight="1" x14ac:dyDescent="0.25">
      <c r="B66" s="34"/>
      <c r="C66" s="48" t="s">
        <v>84</v>
      </c>
      <c r="D66" s="49"/>
      <c r="E66" s="49">
        <v>0</v>
      </c>
      <c r="F66" s="49">
        <v>0</v>
      </c>
      <c r="G66" s="50">
        <v>0</v>
      </c>
      <c r="H66" s="49">
        <f>G66*(1+مفروضات!$E$10)</f>
        <v>0</v>
      </c>
      <c r="I66" s="35"/>
    </row>
    <row r="67" spans="2:9" ht="30" customHeight="1" x14ac:dyDescent="0.25">
      <c r="B67" s="34"/>
      <c r="C67" s="45" t="s">
        <v>85</v>
      </c>
      <c r="D67" s="46"/>
      <c r="E67" s="46">
        <v>287823</v>
      </c>
      <c r="F67" s="46">
        <v>280355</v>
      </c>
      <c r="G67" s="47">
        <v>494957</v>
      </c>
      <c r="H67" s="46">
        <f>G67*(1+مفروضات!$E$10)</f>
        <v>692939.79999999993</v>
      </c>
      <c r="I67" s="35"/>
    </row>
    <row r="68" spans="2:9" ht="30" customHeight="1" x14ac:dyDescent="0.25">
      <c r="B68" s="34"/>
      <c r="C68" s="48" t="s">
        <v>86</v>
      </c>
      <c r="D68" s="49"/>
      <c r="E68" s="49">
        <v>39541</v>
      </c>
      <c r="F68" s="49">
        <v>171401</v>
      </c>
      <c r="G68" s="50">
        <v>250998</v>
      </c>
      <c r="H68" s="49">
        <f>G68*(1+مفروضات!$E$10)</f>
        <v>351397.19999999995</v>
      </c>
      <c r="I68" s="35"/>
    </row>
    <row r="69" spans="2:9" ht="30" customHeight="1" x14ac:dyDescent="0.25">
      <c r="B69" s="34"/>
      <c r="C69" s="51" t="s">
        <v>24</v>
      </c>
      <c r="D69" s="52"/>
      <c r="E69" s="52">
        <f>SUBTOTAL(109,'بهای تمام شده'!$E$59:$E$68)</f>
        <v>3521807</v>
      </c>
      <c r="F69" s="52">
        <f>SUBTOTAL(109,'بهای تمام شده'!$F$59:$F$68)</f>
        <v>5108793</v>
      </c>
      <c r="G69" s="53">
        <f>SUBTOTAL(109,'بهای تمام شده'!$G$59:$G$68)</f>
        <v>7285991</v>
      </c>
      <c r="H69" s="39">
        <f>SUBTOTAL(109,$H$59:$H$68)</f>
        <v>11132603.241911452</v>
      </c>
      <c r="I69" s="35"/>
    </row>
    <row r="70" spans="2:9" ht="30" customHeight="1" x14ac:dyDescent="0.25">
      <c r="B70" s="36"/>
      <c r="C70" s="37"/>
      <c r="D70" s="37"/>
      <c r="E70" s="37"/>
      <c r="F70" s="37"/>
      <c r="G70" s="37"/>
      <c r="H70" s="37"/>
      <c r="I70" s="38"/>
    </row>
    <row r="72" spans="2:9" ht="30" customHeight="1" x14ac:dyDescent="0.25">
      <c r="B72" s="117" t="s">
        <v>26</v>
      </c>
      <c r="C72" s="118"/>
      <c r="D72" s="118"/>
      <c r="E72" s="43"/>
      <c r="F72" s="43"/>
      <c r="G72" s="43"/>
      <c r="H72" s="43"/>
      <c r="I72" s="44"/>
    </row>
    <row r="73" spans="2:9" ht="9.9499999999999993" customHeight="1" x14ac:dyDescent="0.25">
      <c r="B73" s="34"/>
      <c r="I73" s="35"/>
    </row>
    <row r="74" spans="2:9" ht="30" customHeight="1" x14ac:dyDescent="0.25">
      <c r="B74" s="34"/>
      <c r="C74" s="32" t="s">
        <v>1</v>
      </c>
      <c r="D74" s="32" t="s">
        <v>2</v>
      </c>
      <c r="E74" s="33">
        <v>1401</v>
      </c>
      <c r="F74" s="33">
        <v>1402</v>
      </c>
      <c r="G74" s="33">
        <v>1403</v>
      </c>
      <c r="H74" s="33">
        <v>1404</v>
      </c>
      <c r="I74" s="35"/>
    </row>
    <row r="75" spans="2:9" ht="30" customHeight="1" x14ac:dyDescent="0.25">
      <c r="B75" s="34"/>
      <c r="C75" s="45" t="s">
        <v>77</v>
      </c>
      <c r="D75" s="46"/>
      <c r="E75" s="46">
        <v>247571</v>
      </c>
      <c r="F75" s="46">
        <v>271047</v>
      </c>
      <c r="G75" s="47">
        <v>374722</v>
      </c>
      <c r="H75" s="46">
        <f>G75*(1+مفروضات!$E$10)</f>
        <v>524610.79999999993</v>
      </c>
      <c r="I75" s="35"/>
    </row>
    <row r="76" spans="2:9" ht="30" customHeight="1" x14ac:dyDescent="0.25">
      <c r="B76" s="34"/>
      <c r="C76" s="48" t="s">
        <v>78</v>
      </c>
      <c r="D76" s="49"/>
      <c r="E76" s="49">
        <v>15016</v>
      </c>
      <c r="F76" s="49">
        <v>20108</v>
      </c>
      <c r="G76" s="50">
        <v>22566</v>
      </c>
      <c r="H76" s="49">
        <f>G76*(1+مفروضات!$E$10)</f>
        <v>31592.399999999998</v>
      </c>
      <c r="I76" s="35"/>
    </row>
    <row r="77" spans="2:9" ht="30" customHeight="1" x14ac:dyDescent="0.25">
      <c r="B77" s="34"/>
      <c r="C77" s="45" t="s">
        <v>79</v>
      </c>
      <c r="D77" s="46"/>
      <c r="E77" s="46">
        <v>1556</v>
      </c>
      <c r="F77" s="46">
        <v>1521</v>
      </c>
      <c r="G77" s="47">
        <v>2279</v>
      </c>
      <c r="H77" s="46">
        <f>G77*(1+مفروضات!$E$10)</f>
        <v>3190.6</v>
      </c>
      <c r="I77" s="35"/>
    </row>
    <row r="78" spans="2:9" ht="30" customHeight="1" x14ac:dyDescent="0.25">
      <c r="B78" s="34"/>
      <c r="C78" s="48" t="s">
        <v>80</v>
      </c>
      <c r="D78" s="49"/>
      <c r="E78" s="49">
        <v>8465</v>
      </c>
      <c r="F78" s="49">
        <v>6347</v>
      </c>
      <c r="G78" s="50">
        <v>11276</v>
      </c>
      <c r="H78" s="49">
        <f>G78*(1+مفروضات!$E$10)</f>
        <v>15786.4</v>
      </c>
      <c r="I78" s="35"/>
    </row>
    <row r="79" spans="2:9" ht="30" customHeight="1" x14ac:dyDescent="0.25">
      <c r="B79" s="34"/>
      <c r="C79" s="45" t="s">
        <v>81</v>
      </c>
      <c r="D79" s="46"/>
      <c r="E79" s="46">
        <v>1523</v>
      </c>
      <c r="F79" s="46">
        <v>0</v>
      </c>
      <c r="G79" s="47">
        <v>0</v>
      </c>
      <c r="H79" s="46">
        <f>G79*(1+مفروضات!$E$10)</f>
        <v>0</v>
      </c>
      <c r="I79" s="35"/>
    </row>
    <row r="80" spans="2:9" ht="30" customHeight="1" x14ac:dyDescent="0.25">
      <c r="B80" s="34"/>
      <c r="C80" s="48" t="s">
        <v>82</v>
      </c>
      <c r="D80" s="49"/>
      <c r="E80" s="49">
        <v>0</v>
      </c>
      <c r="F80" s="49">
        <v>0</v>
      </c>
      <c r="G80" s="50">
        <v>0</v>
      </c>
      <c r="H80" s="49">
        <f>G80*(1+مفروضات!$E$10)</f>
        <v>0</v>
      </c>
      <c r="I80" s="35"/>
    </row>
    <row r="81" spans="2:9" ht="30" customHeight="1" x14ac:dyDescent="0.25">
      <c r="B81" s="34"/>
      <c r="C81" s="45" t="s">
        <v>83</v>
      </c>
      <c r="D81" s="46"/>
      <c r="E81" s="46">
        <v>0</v>
      </c>
      <c r="F81" s="46">
        <v>0</v>
      </c>
      <c r="G81" s="47">
        <v>0</v>
      </c>
      <c r="H81" s="46">
        <f>G81*(1+مفروضات!$E$10)</f>
        <v>0</v>
      </c>
      <c r="I81" s="35"/>
    </row>
    <row r="82" spans="2:9" ht="30" customHeight="1" x14ac:dyDescent="0.25">
      <c r="B82" s="34"/>
      <c r="C82" s="48" t="s">
        <v>84</v>
      </c>
      <c r="D82" s="49"/>
      <c r="E82" s="49">
        <v>0</v>
      </c>
      <c r="F82" s="49">
        <v>0</v>
      </c>
      <c r="G82" s="50">
        <v>0</v>
      </c>
      <c r="H82" s="49">
        <f>G82*(1+مفروضات!$E$10)</f>
        <v>0</v>
      </c>
      <c r="I82" s="35"/>
    </row>
    <row r="83" spans="2:9" ht="30" customHeight="1" x14ac:dyDescent="0.25">
      <c r="B83" s="34"/>
      <c r="C83" s="45" t="s">
        <v>85</v>
      </c>
      <c r="D83" s="46"/>
      <c r="E83" s="46">
        <v>1024</v>
      </c>
      <c r="F83" s="46">
        <v>3561</v>
      </c>
      <c r="G83" s="47">
        <v>4833</v>
      </c>
      <c r="H83" s="46">
        <f>G83*(1+مفروضات!$E$10)</f>
        <v>6766.2</v>
      </c>
      <c r="I83" s="35"/>
    </row>
    <row r="84" spans="2:9" ht="30" customHeight="1" x14ac:dyDescent="0.25">
      <c r="B84" s="34"/>
      <c r="C84" s="48" t="s">
        <v>86</v>
      </c>
      <c r="D84" s="49"/>
      <c r="E84" s="49">
        <v>46914</v>
      </c>
      <c r="F84" s="49">
        <v>67962</v>
      </c>
      <c r="G84" s="50">
        <v>88949</v>
      </c>
      <c r="H84" s="49">
        <f>G84*(1+مفروضات!$E$10)</f>
        <v>124528.59999999999</v>
      </c>
      <c r="I84" s="35"/>
    </row>
    <row r="85" spans="2:9" ht="30" customHeight="1" x14ac:dyDescent="0.25">
      <c r="B85" s="34"/>
      <c r="C85" s="51" t="s">
        <v>24</v>
      </c>
      <c r="D85" s="52"/>
      <c r="E85" s="52">
        <f>SUBTOTAL(109,'بهای تمام شده'!$E$75:$E$84)</f>
        <v>322069</v>
      </c>
      <c r="F85" s="52">
        <f>SUBTOTAL(109,'بهای تمام شده'!$F$75:$F$84)</f>
        <v>370546</v>
      </c>
      <c r="G85" s="53">
        <f>SUBTOTAL(109,'بهای تمام شده'!$G$75:$G$84)</f>
        <v>504625</v>
      </c>
      <c r="H85" s="53">
        <f>SUBTOTAL(109,$H$75:$H$84)</f>
        <v>706474.99999999988</v>
      </c>
      <c r="I85" s="35"/>
    </row>
    <row r="86" spans="2:9" ht="30" customHeight="1" x14ac:dyDescent="0.25">
      <c r="B86" s="36"/>
      <c r="C86" s="37"/>
      <c r="D86" s="37"/>
      <c r="E86" s="37"/>
      <c r="F86" s="37"/>
      <c r="G86" s="37"/>
      <c r="H86" s="37"/>
      <c r="I86" s="38"/>
    </row>
    <row r="88" spans="2:9" ht="30" customHeight="1" x14ac:dyDescent="0.25">
      <c r="B88" s="117" t="s">
        <v>27</v>
      </c>
      <c r="C88" s="118"/>
      <c r="D88" s="118"/>
      <c r="E88" s="43"/>
      <c r="F88" s="43"/>
      <c r="G88" s="43"/>
      <c r="H88" s="43"/>
      <c r="I88" s="44"/>
    </row>
    <row r="89" spans="2:9" ht="9.9499999999999993" customHeight="1" x14ac:dyDescent="0.25">
      <c r="B89" s="34"/>
      <c r="I89" s="35"/>
    </row>
    <row r="90" spans="2:9" ht="30" customHeight="1" x14ac:dyDescent="0.25">
      <c r="B90" s="34"/>
      <c r="C90" s="32" t="s">
        <v>1</v>
      </c>
      <c r="D90" s="32" t="s">
        <v>2</v>
      </c>
      <c r="E90" s="33">
        <v>1401</v>
      </c>
      <c r="F90" s="33">
        <v>1402</v>
      </c>
      <c r="G90" s="33">
        <v>1403</v>
      </c>
      <c r="H90" s="33"/>
      <c r="I90" s="35"/>
    </row>
    <row r="91" spans="2:9" ht="30" customHeight="1" x14ac:dyDescent="0.25">
      <c r="B91" s="34"/>
      <c r="C91" s="46" t="s">
        <v>87</v>
      </c>
      <c r="D91" s="46"/>
      <c r="E91" s="46">
        <v>896345</v>
      </c>
      <c r="F91" s="46">
        <v>1183383</v>
      </c>
      <c r="G91" s="46">
        <v>1747680</v>
      </c>
      <c r="H91" s="46">
        <f>H53</f>
        <v>2098909.5411889972</v>
      </c>
      <c r="I91" s="35"/>
    </row>
    <row r="92" spans="2:9" ht="30" customHeight="1" x14ac:dyDescent="0.25">
      <c r="B92" s="34"/>
      <c r="C92" s="49" t="s">
        <v>88</v>
      </c>
      <c r="D92" s="49"/>
      <c r="E92" s="49">
        <v>66214</v>
      </c>
      <c r="F92" s="49">
        <v>85125</v>
      </c>
      <c r="G92" s="49">
        <v>120021</v>
      </c>
      <c r="H92" s="49">
        <f>G92*(1+مفروضات!$E$10)</f>
        <v>168029.4</v>
      </c>
      <c r="I92" s="35"/>
    </row>
    <row r="93" spans="2:9" ht="30" customHeight="1" x14ac:dyDescent="0.25">
      <c r="B93" s="34"/>
      <c r="C93" s="46" t="s">
        <v>89</v>
      </c>
      <c r="D93" s="46"/>
      <c r="E93" s="46">
        <v>3623572</v>
      </c>
      <c r="F93" s="46">
        <v>5108793</v>
      </c>
      <c r="G93" s="46">
        <v>7285991</v>
      </c>
      <c r="H93" s="46">
        <f>H69</f>
        <v>11132603.241911452</v>
      </c>
      <c r="I93" s="35"/>
    </row>
    <row r="94" spans="2:9" ht="30" customHeight="1" x14ac:dyDescent="0.25">
      <c r="B94" s="34"/>
      <c r="C94" s="49" t="s">
        <v>24</v>
      </c>
      <c r="D94" s="49"/>
      <c r="E94" s="49">
        <v>4586131</v>
      </c>
      <c r="F94" s="49">
        <v>6377301</v>
      </c>
      <c r="G94" s="49">
        <v>9153692</v>
      </c>
      <c r="H94" s="49">
        <f>SUBTOTAL(109,$H$91:$H$93)</f>
        <v>13399542.183100449</v>
      </c>
      <c r="I94" s="35"/>
    </row>
    <row r="95" spans="2:9" ht="30" customHeight="1" x14ac:dyDescent="0.25">
      <c r="B95" s="34"/>
      <c r="C95" s="46" t="s">
        <v>90</v>
      </c>
      <c r="D95" s="46"/>
      <c r="E95" s="46">
        <v>0</v>
      </c>
      <c r="F95" s="46">
        <v>0</v>
      </c>
      <c r="G95" s="46">
        <v>0</v>
      </c>
      <c r="H95" s="46">
        <v>0</v>
      </c>
      <c r="I95" s="35"/>
    </row>
    <row r="96" spans="2:9" ht="30" customHeight="1" x14ac:dyDescent="0.25">
      <c r="B96" s="34"/>
      <c r="C96" s="49" t="s">
        <v>91</v>
      </c>
      <c r="D96" s="49"/>
      <c r="E96" s="49">
        <v>4586131</v>
      </c>
      <c r="F96" s="49">
        <v>6377301</v>
      </c>
      <c r="G96" s="49">
        <v>9153692</v>
      </c>
      <c r="H96" s="49">
        <f>H94+H95</f>
        <v>13399542.183100449</v>
      </c>
      <c r="I96" s="35"/>
    </row>
    <row r="97" spans="2:9" ht="42" customHeight="1" x14ac:dyDescent="0.25">
      <c r="B97" s="34"/>
      <c r="C97" s="46" t="s">
        <v>92</v>
      </c>
      <c r="D97" s="46"/>
      <c r="E97" s="46">
        <v>-793</v>
      </c>
      <c r="F97" s="46">
        <v>-28220</v>
      </c>
      <c r="G97" s="46">
        <v>-127641</v>
      </c>
      <c r="H97" s="46">
        <v>0</v>
      </c>
      <c r="I97" s="35"/>
    </row>
    <row r="98" spans="2:9" ht="30" customHeight="1" x14ac:dyDescent="0.25">
      <c r="B98" s="34"/>
      <c r="C98" s="49" t="s">
        <v>93</v>
      </c>
      <c r="D98" s="49"/>
      <c r="E98" s="49">
        <v>0</v>
      </c>
      <c r="F98" s="49">
        <v>0</v>
      </c>
      <c r="G98" s="49">
        <v>0</v>
      </c>
      <c r="H98" s="49">
        <v>0</v>
      </c>
      <c r="I98" s="35"/>
    </row>
    <row r="99" spans="2:9" ht="37.5" customHeight="1" x14ac:dyDescent="0.25">
      <c r="B99" s="34"/>
      <c r="C99" s="46" t="s">
        <v>94</v>
      </c>
      <c r="D99" s="46"/>
      <c r="E99" s="46">
        <v>4585338</v>
      </c>
      <c r="F99" s="46">
        <v>6349081</v>
      </c>
      <c r="G99" s="46">
        <v>9026051</v>
      </c>
      <c r="H99" s="46">
        <f>H96+H97+H98</f>
        <v>13399542.183100449</v>
      </c>
      <c r="I99" s="35"/>
    </row>
    <row r="100" spans="2:9" ht="39.75" customHeight="1" x14ac:dyDescent="0.25">
      <c r="B100" s="34"/>
      <c r="C100" s="49" t="s">
        <v>95</v>
      </c>
      <c r="D100" s="49"/>
      <c r="E100" s="49">
        <v>32099</v>
      </c>
      <c r="F100" s="49">
        <v>26448</v>
      </c>
      <c r="G100" s="49">
        <v>18191</v>
      </c>
      <c r="H100" s="49">
        <f>G100</f>
        <v>18191</v>
      </c>
      <c r="I100" s="35"/>
    </row>
    <row r="101" spans="2:9" ht="38.25" customHeight="1" x14ac:dyDescent="0.25">
      <c r="B101" s="34"/>
      <c r="C101" s="46" t="s">
        <v>96</v>
      </c>
      <c r="D101" s="46"/>
      <c r="E101" s="46">
        <v>-26448</v>
      </c>
      <c r="F101" s="46">
        <v>-18191</v>
      </c>
      <c r="G101" s="46">
        <v>-45916</v>
      </c>
      <c r="H101" s="46">
        <f>-H100</f>
        <v>-18191</v>
      </c>
      <c r="I101" s="35"/>
    </row>
    <row r="102" spans="2:9" ht="37.5" customHeight="1" x14ac:dyDescent="0.25">
      <c r="B102" s="34"/>
      <c r="C102" s="49" t="s">
        <v>97</v>
      </c>
      <c r="D102" s="49"/>
      <c r="E102" s="49">
        <v>4590989</v>
      </c>
      <c r="F102" s="49">
        <v>6357338</v>
      </c>
      <c r="G102" s="49">
        <v>8998326</v>
      </c>
      <c r="H102" s="49">
        <f>SUBTOTAL(109,H99:H101)</f>
        <v>13399542.183100449</v>
      </c>
      <c r="I102" s="35"/>
    </row>
    <row r="103" spans="2:9" ht="37.5" customHeight="1" x14ac:dyDescent="0.25">
      <c r="B103" s="34"/>
      <c r="C103" s="46" t="s">
        <v>98</v>
      </c>
      <c r="D103" s="46"/>
      <c r="E103" s="46">
        <v>0</v>
      </c>
      <c r="F103" s="46">
        <v>0</v>
      </c>
      <c r="G103" s="46">
        <v>0</v>
      </c>
      <c r="H103" s="46">
        <v>0</v>
      </c>
      <c r="I103" s="35"/>
    </row>
    <row r="104" spans="2:9" ht="30" customHeight="1" x14ac:dyDescent="0.25">
      <c r="B104" s="34"/>
      <c r="C104" s="51" t="s">
        <v>24</v>
      </c>
      <c r="D104" s="52"/>
      <c r="E104" s="52">
        <f>E102+E103</f>
        <v>4590989</v>
      </c>
      <c r="F104" s="52">
        <f t="shared" ref="F104" si="7">F102+F103</f>
        <v>6357338</v>
      </c>
      <c r="G104" s="52">
        <f>G102+G103</f>
        <v>8998326</v>
      </c>
      <c r="H104" s="52">
        <f>H102+H103</f>
        <v>13399542.183100449</v>
      </c>
      <c r="I104" s="35"/>
    </row>
    <row r="105" spans="2:9" ht="30" customHeight="1" x14ac:dyDescent="0.25">
      <c r="B105" s="36"/>
      <c r="C105" s="37"/>
      <c r="D105" s="37"/>
      <c r="E105" s="37"/>
      <c r="F105" s="37"/>
      <c r="G105" s="37"/>
      <c r="H105" s="37"/>
      <c r="I105" s="38"/>
    </row>
  </sheetData>
  <mergeCells count="7">
    <mergeCell ref="B56:D56"/>
    <mergeCell ref="B72:D72"/>
    <mergeCell ref="B88:D88"/>
    <mergeCell ref="B2:D2"/>
    <mergeCell ref="B18:D18"/>
    <mergeCell ref="B30:D30"/>
    <mergeCell ref="B43:D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8938-AF36-405F-AA22-C9325F4C8AC4}">
  <dimension ref="B2:I35"/>
  <sheetViews>
    <sheetView showGridLines="0" rightToLeft="1" topLeftCell="A10" workbookViewId="0">
      <selection activeCell="J17" sqref="J17"/>
    </sheetView>
  </sheetViews>
  <sheetFormatPr defaultColWidth="15.7109375" defaultRowHeight="30" customHeight="1" x14ac:dyDescent="0.25"/>
  <cols>
    <col min="1" max="2" width="5.7109375" style="1" customWidth="1"/>
    <col min="3" max="3" width="16.28515625" style="1" customWidth="1"/>
    <col min="4" max="4" width="11" style="1" customWidth="1"/>
    <col min="5" max="8" width="15.7109375" style="1" customWidth="1"/>
    <col min="9" max="9" width="5.7109375" style="1" customWidth="1"/>
    <col min="10" max="16384" width="15.7109375" style="1"/>
  </cols>
  <sheetData>
    <row r="2" spans="2:9" ht="30" customHeight="1" x14ac:dyDescent="0.25">
      <c r="B2" s="117" t="s">
        <v>61</v>
      </c>
      <c r="C2" s="118"/>
      <c r="D2" s="118"/>
      <c r="E2" s="43"/>
      <c r="F2" s="43"/>
      <c r="G2" s="43"/>
      <c r="H2" s="43"/>
      <c r="I2" s="44"/>
    </row>
    <row r="3" spans="2:9" ht="9.9499999999999993" customHeight="1" x14ac:dyDescent="0.25">
      <c r="B3" s="34"/>
      <c r="I3" s="35"/>
    </row>
    <row r="4" spans="2:9" ht="30" customHeight="1" x14ac:dyDescent="0.25">
      <c r="B4" s="34"/>
      <c r="C4" s="32" t="s">
        <v>1</v>
      </c>
      <c r="D4" s="32" t="s">
        <v>2</v>
      </c>
      <c r="E4" s="33">
        <v>1401</v>
      </c>
      <c r="F4" s="33">
        <v>1402</v>
      </c>
      <c r="G4" s="33">
        <v>1403</v>
      </c>
      <c r="H4" s="33">
        <v>1404</v>
      </c>
      <c r="I4" s="35"/>
    </row>
    <row r="5" spans="2:9" ht="30" customHeight="1" x14ac:dyDescent="0.25">
      <c r="B5" s="34"/>
      <c r="C5" s="45" t="s">
        <v>117</v>
      </c>
      <c r="D5" s="46" t="s">
        <v>120</v>
      </c>
      <c r="E5" s="46">
        <v>140504</v>
      </c>
      <c r="F5" s="46">
        <v>133250</v>
      </c>
      <c r="G5" s="47">
        <v>130113</v>
      </c>
      <c r="H5" s="97">
        <f>H10*H24</f>
        <v>127811.12169821514</v>
      </c>
      <c r="I5" s="35"/>
    </row>
    <row r="6" spans="2:9" ht="30" customHeight="1" x14ac:dyDescent="0.25">
      <c r="B6" s="34"/>
      <c r="C6" s="48" t="s">
        <v>118</v>
      </c>
      <c r="D6" s="49" t="s">
        <v>121</v>
      </c>
      <c r="E6" s="49">
        <v>92149776</v>
      </c>
      <c r="F6" s="49">
        <v>87564696</v>
      </c>
      <c r="G6" s="50">
        <v>66074371</v>
      </c>
      <c r="H6" s="1">
        <f>H10*H25</f>
        <v>70933281.044189468</v>
      </c>
      <c r="I6" s="35"/>
    </row>
    <row r="7" spans="2:9" ht="30" customHeight="1" x14ac:dyDescent="0.25">
      <c r="B7" s="34"/>
      <c r="C7" s="58" t="s">
        <v>119</v>
      </c>
      <c r="D7" s="49" t="s">
        <v>121</v>
      </c>
      <c r="E7" s="59">
        <v>28549</v>
      </c>
      <c r="F7" s="59">
        <v>22017</v>
      </c>
      <c r="G7" s="60">
        <v>39510</v>
      </c>
      <c r="H7" s="97">
        <f>H10*H26</f>
        <v>42415.446286366103</v>
      </c>
      <c r="I7" s="35"/>
    </row>
    <row r="8" spans="2:9" ht="30" customHeight="1" x14ac:dyDescent="0.25">
      <c r="B8" s="34"/>
      <c r="C8" s="51" t="s">
        <v>24</v>
      </c>
      <c r="D8" s="52"/>
      <c r="E8" s="52">
        <f>SUBTOTAL(109,'هزینه انرژی'!$E$5:$E$6)</f>
        <v>92290280</v>
      </c>
      <c r="F8" s="52">
        <f>SUBTOTAL(109,'هزینه انرژی'!$F$5:$F$6)</f>
        <v>87697946</v>
      </c>
      <c r="G8" s="52">
        <f>SUBTOTAL(109,'هزینه انرژی'!$G$5:$G$6)</f>
        <v>66204484</v>
      </c>
      <c r="H8" s="39">
        <f>SUBTOTAL(109,$H$5:$H$7)</f>
        <v>71103507.612174049</v>
      </c>
      <c r="I8" s="35"/>
    </row>
    <row r="9" spans="2:9" ht="32.25" customHeight="1" x14ac:dyDescent="0.25">
      <c r="B9" s="34"/>
      <c r="C9" s="39" t="s">
        <v>129</v>
      </c>
      <c r="D9" s="39"/>
      <c r="E9" s="39">
        <f>درآمد!E12</f>
        <v>1110291</v>
      </c>
      <c r="F9" s="39">
        <f>درآمد!F12</f>
        <v>1100230</v>
      </c>
      <c r="G9" s="39">
        <f>درآمد!G12</f>
        <v>1018010</v>
      </c>
      <c r="H9" s="39">
        <f>درآمد!H12</f>
        <v>1000000</v>
      </c>
      <c r="I9" s="35"/>
    </row>
    <row r="10" spans="2:9" ht="30" customHeight="1" x14ac:dyDescent="0.25">
      <c r="B10" s="34"/>
      <c r="C10" s="39" t="s">
        <v>115</v>
      </c>
      <c r="D10" s="39"/>
      <c r="E10" s="39">
        <f>درآمد!$E$13</f>
        <v>1187628</v>
      </c>
      <c r="F10" s="39">
        <f>درآمد!$F$13</f>
        <v>1170896</v>
      </c>
      <c r="G10" s="39">
        <f>درآمد!$G$13</f>
        <v>1112554</v>
      </c>
      <c r="H10" s="39">
        <f>درآمد!H13</f>
        <v>1092871.3863321578</v>
      </c>
      <c r="I10" s="35"/>
    </row>
    <row r="11" spans="2:9" ht="30" customHeight="1" x14ac:dyDescent="0.25">
      <c r="B11" s="36"/>
      <c r="C11" s="37"/>
      <c r="D11" s="37"/>
      <c r="E11" s="37"/>
      <c r="F11" s="37"/>
      <c r="G11" s="37"/>
      <c r="H11" s="37"/>
      <c r="I11" s="38"/>
    </row>
    <row r="13" spans="2:9" ht="30" customHeight="1" x14ac:dyDescent="0.25">
      <c r="B13" s="117" t="s">
        <v>62</v>
      </c>
      <c r="C13" s="118"/>
      <c r="D13" s="118"/>
      <c r="E13" s="43"/>
      <c r="F13" s="43"/>
      <c r="G13" s="43"/>
      <c r="H13" s="43"/>
      <c r="I13" s="44"/>
    </row>
    <row r="14" spans="2:9" ht="9.9499999999999993" customHeight="1" x14ac:dyDescent="0.25">
      <c r="B14" s="34"/>
      <c r="I14" s="35"/>
    </row>
    <row r="15" spans="2:9" ht="30" customHeight="1" x14ac:dyDescent="0.25">
      <c r="B15" s="34"/>
      <c r="C15" s="32" t="s">
        <v>1</v>
      </c>
      <c r="D15" s="32" t="s">
        <v>2</v>
      </c>
      <c r="E15" s="33">
        <v>1401</v>
      </c>
      <c r="F15" s="33">
        <v>1402</v>
      </c>
      <c r="G15" s="33">
        <v>1403</v>
      </c>
      <c r="H15" s="33">
        <v>1404</v>
      </c>
      <c r="I15" s="35"/>
    </row>
    <row r="16" spans="2:9" ht="30" customHeight="1" x14ac:dyDescent="0.25">
      <c r="B16" s="34"/>
      <c r="C16" s="45" t="s">
        <v>117</v>
      </c>
      <c r="D16" s="46" t="s">
        <v>6</v>
      </c>
      <c r="E16" s="46">
        <v>1159483</v>
      </c>
      <c r="F16" s="46">
        <v>1916420</v>
      </c>
      <c r="G16" s="47">
        <v>4710882</v>
      </c>
      <c r="H16" s="46">
        <f>G16*(1+مفروضات!$E$9)</f>
        <v>7301867.1000000006</v>
      </c>
      <c r="I16" s="35"/>
    </row>
    <row r="17" spans="2:9" ht="30" customHeight="1" x14ac:dyDescent="0.25">
      <c r="B17" s="34"/>
      <c r="C17" s="48" t="s">
        <v>118</v>
      </c>
      <c r="D17" s="49" t="s">
        <v>6</v>
      </c>
      <c r="E17" s="49">
        <v>5522</v>
      </c>
      <c r="F17" s="49">
        <v>10643</v>
      </c>
      <c r="G17" s="50">
        <v>11053</v>
      </c>
      <c r="H17" s="49">
        <v>27000</v>
      </c>
      <c r="I17" s="35"/>
    </row>
    <row r="18" spans="2:9" ht="30" customHeight="1" x14ac:dyDescent="0.25">
      <c r="B18" s="34"/>
      <c r="C18" s="58" t="s">
        <v>119</v>
      </c>
      <c r="D18" s="59" t="s">
        <v>6</v>
      </c>
      <c r="E18" s="59">
        <v>16377071</v>
      </c>
      <c r="F18" s="59">
        <v>24069310</v>
      </c>
      <c r="G18" s="60">
        <v>25320046</v>
      </c>
      <c r="H18" s="59">
        <f>G18*(1+مفروضات!$E$9)</f>
        <v>39246071.300000004</v>
      </c>
      <c r="I18" s="35"/>
    </row>
    <row r="19" spans="2:9" ht="30" customHeight="1" x14ac:dyDescent="0.25">
      <c r="B19" s="36"/>
      <c r="C19" s="37"/>
      <c r="D19" s="37"/>
      <c r="E19" s="37"/>
      <c r="F19" s="37"/>
      <c r="G19" s="37"/>
      <c r="H19" s="37"/>
      <c r="I19" s="38"/>
    </row>
    <row r="21" spans="2:9" ht="30" customHeight="1" x14ac:dyDescent="0.25">
      <c r="B21" s="117" t="s">
        <v>21</v>
      </c>
      <c r="C21" s="118"/>
      <c r="D21" s="118"/>
      <c r="E21" s="43"/>
      <c r="F21" s="43"/>
      <c r="G21" s="43"/>
      <c r="H21" s="43"/>
      <c r="I21" s="44"/>
    </row>
    <row r="22" spans="2:9" ht="9.9499999999999993" customHeight="1" x14ac:dyDescent="0.25">
      <c r="B22" s="34"/>
      <c r="I22" s="35"/>
    </row>
    <row r="23" spans="2:9" ht="30" customHeight="1" x14ac:dyDescent="0.25">
      <c r="B23" s="34"/>
      <c r="C23" s="32" t="s">
        <v>1</v>
      </c>
      <c r="D23" s="32" t="s">
        <v>2</v>
      </c>
      <c r="E23" s="33">
        <v>1401</v>
      </c>
      <c r="F23" s="33">
        <v>1402</v>
      </c>
      <c r="G23" s="33">
        <v>1403</v>
      </c>
      <c r="H23" s="33">
        <v>1404</v>
      </c>
      <c r="I23" s="35"/>
    </row>
    <row r="24" spans="2:9" ht="30" customHeight="1" x14ac:dyDescent="0.25">
      <c r="B24" s="34"/>
      <c r="C24" s="45" t="s">
        <v>117</v>
      </c>
      <c r="D24" s="99"/>
      <c r="E24" s="99">
        <f>E5/$E$10</f>
        <v>0.11830640570953194</v>
      </c>
      <c r="F24" s="100">
        <f>F5/$F$10</f>
        <v>0.11380173815607876</v>
      </c>
      <c r="G24" s="99">
        <f>G5/$G$10</f>
        <v>0.11694982895212278</v>
      </c>
      <c r="H24" s="99">
        <v>0.11694982895212278</v>
      </c>
      <c r="I24" s="35"/>
    </row>
    <row r="25" spans="2:9" ht="30" customHeight="1" x14ac:dyDescent="0.25">
      <c r="B25" s="34"/>
      <c r="C25" s="48" t="s">
        <v>122</v>
      </c>
      <c r="D25" s="101"/>
      <c r="E25" s="101">
        <f>E6/$E$9</f>
        <v>82.996057790254994</v>
      </c>
      <c r="F25" s="101">
        <f>F6/$F$9</f>
        <v>79.587628041409531</v>
      </c>
      <c r="G25" s="101">
        <f>G6/$G$9</f>
        <v>64.905424308209149</v>
      </c>
      <c r="H25" s="101">
        <v>64.905424308209149</v>
      </c>
      <c r="I25" s="35"/>
    </row>
    <row r="26" spans="2:9" ht="30" customHeight="1" x14ac:dyDescent="0.25">
      <c r="B26" s="34"/>
      <c r="C26" s="58" t="s">
        <v>119</v>
      </c>
      <c r="D26" s="102"/>
      <c r="E26" s="102">
        <f>E7/$E$9</f>
        <v>2.5713078823479611E-2</v>
      </c>
      <c r="F26" s="103">
        <f>F7/$F$9</f>
        <v>2.0011270370740665E-2</v>
      </c>
      <c r="G26" s="102">
        <f>G7/$G$9</f>
        <v>3.8811013644266756E-2</v>
      </c>
      <c r="H26" s="102">
        <v>3.8811013644266756E-2</v>
      </c>
      <c r="I26" s="35"/>
    </row>
    <row r="27" spans="2:9" ht="30" customHeight="1" x14ac:dyDescent="0.25">
      <c r="B27" s="36"/>
      <c r="C27" s="37"/>
      <c r="D27" s="37"/>
      <c r="E27" s="37"/>
      <c r="F27" s="37"/>
      <c r="G27" s="37"/>
      <c r="H27" s="37"/>
      <c r="I27" s="38"/>
    </row>
    <row r="29" spans="2:9" ht="30" customHeight="1" x14ac:dyDescent="0.25">
      <c r="B29" s="117" t="s">
        <v>63</v>
      </c>
      <c r="C29" s="118"/>
      <c r="D29" s="118"/>
      <c r="E29" s="43"/>
      <c r="F29" s="43"/>
      <c r="G29" s="43"/>
      <c r="H29" s="43"/>
      <c r="I29" s="44"/>
    </row>
    <row r="30" spans="2:9" ht="9.9499999999999993" customHeight="1" x14ac:dyDescent="0.25">
      <c r="B30" s="34"/>
      <c r="I30" s="35"/>
    </row>
    <row r="31" spans="2:9" ht="30" customHeight="1" x14ac:dyDescent="0.25">
      <c r="B31" s="34"/>
      <c r="C31" s="32" t="s">
        <v>1</v>
      </c>
      <c r="D31" s="32" t="s">
        <v>2</v>
      </c>
      <c r="E31" s="33">
        <v>1401</v>
      </c>
      <c r="F31" s="33">
        <v>1402</v>
      </c>
      <c r="G31" s="33">
        <v>1403</v>
      </c>
      <c r="H31" s="33">
        <v>1404</v>
      </c>
      <c r="I31" s="35"/>
    </row>
    <row r="32" spans="2:9" ht="30" customHeight="1" x14ac:dyDescent="0.25">
      <c r="B32" s="34"/>
      <c r="C32" s="45" t="s">
        <v>117</v>
      </c>
      <c r="D32" s="46"/>
      <c r="E32" s="46">
        <v>162912</v>
      </c>
      <c r="F32" s="46">
        <v>255363</v>
      </c>
      <c r="G32" s="47">
        <v>612947</v>
      </c>
      <c r="H32" s="46">
        <f>(H5*H16)/1000000</f>
        <v>933259.82454229333</v>
      </c>
      <c r="I32" s="35"/>
    </row>
    <row r="33" spans="2:9" ht="30" customHeight="1" x14ac:dyDescent="0.25">
      <c r="B33" s="34"/>
      <c r="C33" s="48" t="s">
        <v>118</v>
      </c>
      <c r="D33" s="49"/>
      <c r="E33" s="49">
        <v>508830</v>
      </c>
      <c r="F33" s="49">
        <v>931947</v>
      </c>
      <c r="G33" s="50">
        <v>730317</v>
      </c>
      <c r="H33" s="49">
        <f>(H6*H17)/1000000</f>
        <v>1915198.5881931158</v>
      </c>
      <c r="I33" s="35"/>
    </row>
    <row r="34" spans="2:9" ht="30" customHeight="1" x14ac:dyDescent="0.25">
      <c r="B34" s="34"/>
      <c r="C34" s="58" t="s">
        <v>119</v>
      </c>
      <c r="D34" s="59"/>
      <c r="E34" s="59">
        <v>467549</v>
      </c>
      <c r="F34" s="59">
        <v>529934</v>
      </c>
      <c r="G34" s="60">
        <v>1000395</v>
      </c>
      <c r="H34" s="59">
        <f>(H7*H18)/1000000</f>
        <v>1664639.6291760444</v>
      </c>
      <c r="I34" s="35"/>
    </row>
    <row r="35" spans="2:9" ht="30" customHeight="1" x14ac:dyDescent="0.25">
      <c r="B35" s="36"/>
      <c r="C35" s="39" t="s">
        <v>124</v>
      </c>
      <c r="D35" s="39"/>
      <c r="E35" s="39">
        <f>SUBTOTAL(109,E32:E34)</f>
        <v>1139291</v>
      </c>
      <c r="F35" s="39">
        <f>SUBTOTAL(109,F32:F34)</f>
        <v>1717244</v>
      </c>
      <c r="G35" s="39">
        <f>SUBTOTAL(109,G32:G34)</f>
        <v>2343659</v>
      </c>
      <c r="H35" s="39">
        <f>SUBTOTAL(109,H32:H34)</f>
        <v>4513098.041911453</v>
      </c>
      <c r="I35" s="38"/>
    </row>
  </sheetData>
  <mergeCells count="4">
    <mergeCell ref="B2:D2"/>
    <mergeCell ref="B13:D13"/>
    <mergeCell ref="B21:D21"/>
    <mergeCell ref="B29:D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10DD-2303-42D5-8C4C-F5C68BFCD608}">
  <dimension ref="B2:G22"/>
  <sheetViews>
    <sheetView showGridLines="0" rightToLeft="1" topLeftCell="A10" zoomScaleNormal="100" workbookViewId="0">
      <selection activeCell="I8" sqref="I8"/>
    </sheetView>
  </sheetViews>
  <sheetFormatPr defaultRowHeight="30" customHeight="1" x14ac:dyDescent="0.25"/>
  <cols>
    <col min="1" max="1" width="5.7109375" style="1" customWidth="1"/>
    <col min="2" max="2" width="50.7109375" style="1" customWidth="1"/>
    <col min="3" max="7" width="20.7109375" style="1" customWidth="1"/>
    <col min="8" max="16384" width="9.140625" style="1"/>
  </cols>
  <sheetData>
    <row r="2" spans="2:7" ht="42" customHeight="1" x14ac:dyDescent="0.25">
      <c r="B2" s="29" t="s">
        <v>1</v>
      </c>
      <c r="C2" s="29" t="s">
        <v>58</v>
      </c>
      <c r="D2" s="29" t="s">
        <v>59</v>
      </c>
      <c r="E2" s="29" t="s">
        <v>60</v>
      </c>
      <c r="F2" s="29" t="s">
        <v>130</v>
      </c>
      <c r="G2" s="29" t="s">
        <v>123</v>
      </c>
    </row>
    <row r="3" spans="2:7" ht="35.1" customHeight="1" x14ac:dyDescent="0.25">
      <c r="B3" s="70" t="s">
        <v>28</v>
      </c>
      <c r="C3" s="71">
        <v>6768480</v>
      </c>
      <c r="D3" s="71">
        <v>9452651</v>
      </c>
      <c r="E3" s="72">
        <v>14139455</v>
      </c>
      <c r="F3" s="72">
        <v>21241042</v>
      </c>
      <c r="G3" s="72">
        <f>درآمد!H82</f>
        <v>20354440.982378423</v>
      </c>
    </row>
    <row r="4" spans="2:7" ht="35.1" customHeight="1" x14ac:dyDescent="0.25">
      <c r="B4" s="73" t="s">
        <v>29</v>
      </c>
      <c r="C4" s="74">
        <v>-4590989</v>
      </c>
      <c r="D4" s="74">
        <v>-6357338</v>
      </c>
      <c r="E4" s="75">
        <v>-8998326</v>
      </c>
      <c r="F4" s="75">
        <v>-14559726</v>
      </c>
      <c r="G4" s="75">
        <f>-'بهای تمام شده'!H104</f>
        <v>-13399542.183100449</v>
      </c>
    </row>
    <row r="5" spans="2:7" ht="35.1" customHeight="1" x14ac:dyDescent="0.25">
      <c r="B5" s="76" t="s">
        <v>30</v>
      </c>
      <c r="C5" s="77">
        <v>2177491</v>
      </c>
      <c r="D5" s="77">
        <v>3095313</v>
      </c>
      <c r="E5" s="78">
        <v>5141129</v>
      </c>
      <c r="F5" s="78">
        <f>SUBTOTAL(109,$F$3:$F$4)</f>
        <v>6681316</v>
      </c>
      <c r="G5" s="78">
        <f>SUBTOTAL(109,'سود و زیان'!$G$3:$G$4)</f>
        <v>6954898.7992779743</v>
      </c>
    </row>
    <row r="6" spans="2:7" ht="35.1" customHeight="1" x14ac:dyDescent="0.25">
      <c r="B6" s="70" t="s">
        <v>31</v>
      </c>
      <c r="C6" s="71">
        <v>-322069</v>
      </c>
      <c r="D6" s="71">
        <v>-370546</v>
      </c>
      <c r="E6" s="72">
        <v>-504625</v>
      </c>
      <c r="F6" s="72">
        <v>-710229</v>
      </c>
      <c r="G6" s="72">
        <f>-'بهای تمام شده'!H85</f>
        <v>-706474.99999999988</v>
      </c>
    </row>
    <row r="7" spans="2:7" ht="35.1" customHeight="1" x14ac:dyDescent="0.25">
      <c r="B7" s="73" t="s">
        <v>32</v>
      </c>
      <c r="C7" s="79">
        <v>0</v>
      </c>
      <c r="D7" s="79">
        <v>0</v>
      </c>
      <c r="E7" s="75">
        <v>0</v>
      </c>
      <c r="F7" s="75">
        <v>0</v>
      </c>
      <c r="G7" s="75">
        <v>0</v>
      </c>
    </row>
    <row r="8" spans="2:7" ht="35.1" customHeight="1" x14ac:dyDescent="0.25">
      <c r="B8" s="70" t="s">
        <v>33</v>
      </c>
      <c r="C8" s="80">
        <v>0</v>
      </c>
      <c r="D8" s="80">
        <v>0</v>
      </c>
      <c r="E8" s="72">
        <v>0</v>
      </c>
      <c r="F8" s="72">
        <v>0</v>
      </c>
      <c r="G8" s="72">
        <v>0</v>
      </c>
    </row>
    <row r="9" spans="2:7" ht="35.1" customHeight="1" x14ac:dyDescent="0.25">
      <c r="B9" s="73" t="s">
        <v>34</v>
      </c>
      <c r="C9" s="79">
        <v>0</v>
      </c>
      <c r="D9" s="79">
        <v>0</v>
      </c>
      <c r="E9" s="75">
        <v>0</v>
      </c>
      <c r="F9" s="75">
        <v>0</v>
      </c>
      <c r="G9" s="75">
        <v>0</v>
      </c>
    </row>
    <row r="10" spans="2:7" ht="35.1" customHeight="1" x14ac:dyDescent="0.25">
      <c r="B10" s="81" t="s">
        <v>35</v>
      </c>
      <c r="C10" s="77">
        <v>1855422</v>
      </c>
      <c r="D10" s="77">
        <v>2724767</v>
      </c>
      <c r="E10" s="78">
        <v>4636504</v>
      </c>
      <c r="F10" s="78">
        <f>F5+SUBTOTAL(109,$F$6:$F$9)</f>
        <v>5971087</v>
      </c>
      <c r="G10" s="78">
        <f>G5+SUBTOTAL(109,'سود و زیان'!$G$6:$G$9)</f>
        <v>6248423.7992779743</v>
      </c>
    </row>
    <row r="11" spans="2:7" ht="35.1" customHeight="1" x14ac:dyDescent="0.25">
      <c r="B11" s="70" t="s">
        <v>36</v>
      </c>
      <c r="C11" s="80">
        <v>-4845</v>
      </c>
      <c r="D11" s="80">
        <v>-42687</v>
      </c>
      <c r="E11" s="72">
        <v>-105028</v>
      </c>
      <c r="F11" s="72">
        <v>-168795</v>
      </c>
      <c r="G11" s="72">
        <v>-170000</v>
      </c>
    </row>
    <row r="12" spans="2:7" ht="35.1" customHeight="1" x14ac:dyDescent="0.25">
      <c r="B12" s="73" t="s">
        <v>37</v>
      </c>
      <c r="C12" s="79">
        <v>113726</v>
      </c>
      <c r="D12" s="79">
        <v>146790</v>
      </c>
      <c r="E12" s="75">
        <v>200186</v>
      </c>
      <c r="F12" s="75">
        <v>30269</v>
      </c>
      <c r="G12" s="75">
        <v>30000</v>
      </c>
    </row>
    <row r="13" spans="2:7" ht="35.1" customHeight="1" x14ac:dyDescent="0.25">
      <c r="B13" s="76" t="s">
        <v>38</v>
      </c>
      <c r="C13" s="77">
        <v>1964303</v>
      </c>
      <c r="D13" s="77">
        <f>'سود و زیان'!$D$10+SUBTOTAL(109,'سود و زیان'!$D$11:$D$12)</f>
        <v>2828870</v>
      </c>
      <c r="E13" s="78">
        <v>4731662</v>
      </c>
      <c r="F13" s="78">
        <f>F10+SUBTOTAL(109,$F$11:$F$12)</f>
        <v>5832561</v>
      </c>
      <c r="G13" s="78">
        <f>'سود و زیان'!$G$10+SUBTOTAL(109,'سود و زیان'!$G$11:$G$12)</f>
        <v>6108423.7992779743</v>
      </c>
    </row>
    <row r="14" spans="2:7" ht="35.1" customHeight="1" x14ac:dyDescent="0.25">
      <c r="B14" s="70" t="s">
        <v>39</v>
      </c>
      <c r="C14" s="80"/>
      <c r="D14" s="80"/>
      <c r="E14" s="72"/>
      <c r="F14" s="72"/>
      <c r="G14" s="72"/>
    </row>
    <row r="15" spans="2:7" ht="35.1" customHeight="1" x14ac:dyDescent="0.25">
      <c r="B15" s="73" t="s">
        <v>40</v>
      </c>
      <c r="C15" s="80">
        <v>-175984</v>
      </c>
      <c r="D15" s="79">
        <v>-418370</v>
      </c>
      <c r="E15" s="82">
        <v>-470467</v>
      </c>
      <c r="F15" s="82">
        <f>-(F13*15%)</f>
        <v>-874884.15</v>
      </c>
      <c r="G15" s="82">
        <v>-920000</v>
      </c>
    </row>
    <row r="16" spans="2:7" ht="35.1" customHeight="1" x14ac:dyDescent="0.25">
      <c r="B16" s="70" t="s">
        <v>41</v>
      </c>
      <c r="C16" s="80"/>
      <c r="D16" s="80">
        <v>0</v>
      </c>
      <c r="E16" s="72">
        <v>0</v>
      </c>
      <c r="F16" s="72"/>
      <c r="G16" s="72"/>
    </row>
    <row r="17" spans="2:7" ht="35.1" customHeight="1" x14ac:dyDescent="0.25">
      <c r="B17" s="76" t="s">
        <v>42</v>
      </c>
      <c r="C17" s="77">
        <v>1788319</v>
      </c>
      <c r="D17" s="77">
        <v>2410500</v>
      </c>
      <c r="E17" s="78">
        <v>4261195</v>
      </c>
      <c r="F17" s="78">
        <f>F13+SUBTOTAL(109,$F$14:$F$16)</f>
        <v>4957676.8499999996</v>
      </c>
      <c r="G17" s="78">
        <f>'سود و زیان'!$G$13+SUBTOTAL(109,'سود و زیان'!$G$14:$G$16)</f>
        <v>5188423.7992779743</v>
      </c>
    </row>
    <row r="18" spans="2:7" ht="35.1" customHeight="1" x14ac:dyDescent="0.25">
      <c r="B18" s="70" t="s">
        <v>43</v>
      </c>
      <c r="C18" s="80">
        <v>0</v>
      </c>
      <c r="D18" s="80"/>
      <c r="E18" s="72"/>
      <c r="F18" s="72"/>
      <c r="G18" s="72"/>
    </row>
    <row r="19" spans="2:7" ht="35.1" customHeight="1" x14ac:dyDescent="0.25">
      <c r="B19" s="73" t="s">
        <v>44</v>
      </c>
      <c r="C19" s="79"/>
      <c r="D19" s="79">
        <v>0</v>
      </c>
      <c r="E19" s="75">
        <v>0</v>
      </c>
      <c r="F19" s="75"/>
      <c r="G19" s="75"/>
    </row>
    <row r="20" spans="2:7" ht="35.1" customHeight="1" x14ac:dyDescent="0.25">
      <c r="B20" s="76" t="s">
        <v>45</v>
      </c>
      <c r="C20" s="77">
        <f>'سود و زیان'!$C$17+SUBTOTAL(103,'سود و زیان'!$C$18:$C$19)</f>
        <v>1788320</v>
      </c>
      <c r="D20" s="77">
        <v>2410500</v>
      </c>
      <c r="E20" s="78">
        <v>4261195</v>
      </c>
      <c r="F20" s="78">
        <f>F17+SUBTOTAL(109,$F$18:$F$19)</f>
        <v>4957676.8499999996</v>
      </c>
      <c r="G20" s="78">
        <f>'سود و زیان'!$G$17+SUBTOTAL(103,'سود و زیان'!$G$18:$G$19)</f>
        <v>5188423.7992779743</v>
      </c>
    </row>
    <row r="21" spans="2:7" ht="35.1" customHeight="1" x14ac:dyDescent="0.25">
      <c r="B21" s="7" t="s">
        <v>46</v>
      </c>
      <c r="C21" s="8">
        <f t="shared" ref="C21:E21" si="0">C20/C22*1000</f>
        <v>3576.64</v>
      </c>
      <c r="D21" s="8">
        <f>D20/D22*1000</f>
        <v>4821</v>
      </c>
      <c r="E21" s="8">
        <f t="shared" si="0"/>
        <v>458.19301075268817</v>
      </c>
      <c r="F21" s="8">
        <f>F20/F22*1000</f>
        <v>533.08353225806445</v>
      </c>
      <c r="G21" s="8">
        <f>G20/G22*1000</f>
        <v>557.89503218042739</v>
      </c>
    </row>
    <row r="22" spans="2:7" ht="35.1" customHeight="1" x14ac:dyDescent="0.25">
      <c r="B22" s="4" t="s">
        <v>47</v>
      </c>
      <c r="C22" s="5">
        <v>500000</v>
      </c>
      <c r="D22" s="5">
        <v>500000</v>
      </c>
      <c r="E22" s="6">
        <v>9300000</v>
      </c>
      <c r="F22" s="6">
        <v>9300000</v>
      </c>
      <c r="G22" s="6">
        <v>9300000</v>
      </c>
    </row>
  </sheetData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FF25-0504-4FBF-BB9B-A970CA9671CC}">
  <dimension ref="B2:C23"/>
  <sheetViews>
    <sheetView showGridLines="0" rightToLeft="1" zoomScaleNormal="100" workbookViewId="0">
      <selection activeCell="G4" sqref="G4"/>
    </sheetView>
  </sheetViews>
  <sheetFormatPr defaultRowHeight="30" customHeight="1" x14ac:dyDescent="0.25"/>
  <cols>
    <col min="1" max="1" width="5.7109375" style="1" customWidth="1"/>
    <col min="2" max="2" width="8.7109375" style="1" customWidth="1"/>
    <col min="3" max="3" width="200.7109375" style="1" customWidth="1"/>
    <col min="4" max="16384" width="9.140625" style="1"/>
  </cols>
  <sheetData>
    <row r="2" spans="2:3" ht="42" customHeight="1" x14ac:dyDescent="0.25">
      <c r="B2" s="41" t="s">
        <v>53</v>
      </c>
      <c r="C2" s="42" t="s">
        <v>52</v>
      </c>
    </row>
    <row r="3" spans="2:3" ht="30" customHeight="1" x14ac:dyDescent="0.25">
      <c r="B3" s="40">
        <v>1</v>
      </c>
      <c r="C3" s="30"/>
    </row>
    <row r="4" spans="2:3" ht="30" customHeight="1" x14ac:dyDescent="0.25">
      <c r="B4" s="40">
        <v>2</v>
      </c>
      <c r="C4" s="30"/>
    </row>
    <row r="5" spans="2:3" ht="30" customHeight="1" x14ac:dyDescent="0.25">
      <c r="B5" s="40">
        <v>3</v>
      </c>
      <c r="C5" s="30"/>
    </row>
    <row r="6" spans="2:3" ht="30" customHeight="1" x14ac:dyDescent="0.25">
      <c r="B6" s="40">
        <v>4</v>
      </c>
      <c r="C6" s="30"/>
    </row>
    <row r="7" spans="2:3" ht="30" customHeight="1" x14ac:dyDescent="0.25">
      <c r="B7" s="40">
        <v>5</v>
      </c>
      <c r="C7" s="30"/>
    </row>
    <row r="8" spans="2:3" ht="30" customHeight="1" x14ac:dyDescent="0.25">
      <c r="B8" s="40">
        <v>6</v>
      </c>
      <c r="C8" s="30"/>
    </row>
    <row r="9" spans="2:3" ht="30" customHeight="1" x14ac:dyDescent="0.25">
      <c r="B9" s="40">
        <v>7</v>
      </c>
      <c r="C9" s="30"/>
    </row>
    <row r="10" spans="2:3" ht="30" customHeight="1" x14ac:dyDescent="0.25">
      <c r="B10" s="40">
        <v>8</v>
      </c>
      <c r="C10" s="30"/>
    </row>
    <row r="11" spans="2:3" ht="30" customHeight="1" x14ac:dyDescent="0.25">
      <c r="B11" s="40">
        <v>9</v>
      </c>
      <c r="C11" s="30"/>
    </row>
    <row r="12" spans="2:3" ht="30" customHeight="1" x14ac:dyDescent="0.25">
      <c r="B12" s="40">
        <v>10</v>
      </c>
      <c r="C12" s="30"/>
    </row>
    <row r="13" spans="2:3" ht="35.1" customHeight="1" x14ac:dyDescent="0.25"/>
    <row r="14" spans="2:3" ht="35.1" customHeight="1" x14ac:dyDescent="0.25"/>
    <row r="15" spans="2:3" ht="35.1" customHeight="1" x14ac:dyDescent="0.25"/>
    <row r="16" spans="2:3" ht="35.1" customHeight="1" x14ac:dyDescent="0.25"/>
    <row r="17" ht="35.1" customHeight="1" x14ac:dyDescent="0.25"/>
    <row r="18" ht="35.1" customHeight="1" x14ac:dyDescent="0.25"/>
    <row r="19" ht="35.1" customHeight="1" x14ac:dyDescent="0.25"/>
    <row r="20" ht="35.1" customHeight="1" x14ac:dyDescent="0.25"/>
    <row r="21" ht="35.1" customHeight="1" x14ac:dyDescent="0.25"/>
    <row r="22" ht="35.1" customHeight="1" x14ac:dyDescent="0.25"/>
    <row r="23" ht="35.1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مفروضات</vt:lpstr>
      <vt:lpstr>درآمد</vt:lpstr>
      <vt:lpstr>بهای تمام شده</vt:lpstr>
      <vt:lpstr>هزینه انرژی</vt:lpstr>
      <vt:lpstr>سود و زیان</vt:lpstr>
      <vt:lpstr>اطلاعات تکمیلی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2025-01-25T05:36:17Z</dcterms:created>
  <dcterms:modified xsi:type="dcterms:W3CDTF">2025-07-01T11:15:07Z</dcterms:modified>
</cp:coreProperties>
</file>