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hlil2\Desktop\"/>
    </mc:Choice>
  </mc:AlternateContent>
  <xr:revisionPtr revIDLastSave="0" documentId="13_ncr:1_{34C9980D-DBED-4E1B-99B2-E711C6E099FD}" xr6:coauthVersionLast="47" xr6:coauthVersionMax="47" xr10:uidLastSave="{00000000-0000-0000-0000-000000000000}"/>
  <bookViews>
    <workbookView xWindow="-120" yWindow="-120" windowWidth="29040" windowHeight="15840" xr2:uid="{81A8E130-F218-4DF9-9AC1-141D0D13A5D4}"/>
  </bookViews>
  <sheets>
    <sheet name="مفروضات" sheetId="1" r:id="rId1"/>
    <sheet name="درآمد" sheetId="4" r:id="rId2"/>
    <sheet name="بهای تمام شده" sheetId="3" r:id="rId3"/>
    <sheet name="سود و زیان" sheetId="5" r:id="rId4"/>
    <sheet name="اطلاعات تکمیلی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" l="1"/>
  <c r="G15" i="3" s="1"/>
  <c r="F5" i="3"/>
  <c r="H6" i="3"/>
  <c r="H7" i="3" s="1"/>
  <c r="H5" i="3"/>
  <c r="H9" i="3"/>
  <c r="G16" i="3"/>
  <c r="G59" i="4"/>
  <c r="G35" i="3"/>
  <c r="G29" i="3"/>
  <c r="H29" i="4"/>
  <c r="H82" i="3"/>
  <c r="H66" i="3"/>
  <c r="H67" i="3"/>
  <c r="H68" i="3"/>
  <c r="H69" i="3"/>
  <c r="H70" i="3"/>
  <c r="H71" i="3"/>
  <c r="H72" i="3"/>
  <c r="H73" i="3"/>
  <c r="H74" i="3"/>
  <c r="H65" i="3"/>
  <c r="H58" i="3"/>
  <c r="H57" i="3"/>
  <c r="H51" i="3"/>
  <c r="H50" i="3"/>
  <c r="H52" i="3"/>
  <c r="H53" i="3"/>
  <c r="H54" i="3"/>
  <c r="H55" i="3"/>
  <c r="H56" i="3"/>
  <c r="H49" i="3"/>
  <c r="F29" i="3"/>
  <c r="E29" i="3"/>
  <c r="H40" i="4"/>
  <c r="G41" i="4"/>
  <c r="H28" i="4"/>
  <c r="H26" i="4"/>
  <c r="H9" i="4"/>
  <c r="H6" i="4" s="1"/>
  <c r="H41" i="4"/>
  <c r="H84" i="3"/>
  <c r="H85" i="3"/>
  <c r="H89" i="3"/>
  <c r="E5" i="5"/>
  <c r="E51" i="4"/>
  <c r="F51" i="4"/>
  <c r="G51" i="4"/>
  <c r="F35" i="3"/>
  <c r="E35" i="3"/>
  <c r="E5" i="3"/>
  <c r="H38" i="4" l="1"/>
  <c r="E10" i="1" s="1"/>
  <c r="H19" i="4"/>
  <c r="H75" i="3"/>
  <c r="F6" i="5" s="1"/>
  <c r="H59" i="3"/>
  <c r="H83" i="3" s="1"/>
  <c r="E7" i="3"/>
  <c r="H36" i="4" l="1"/>
  <c r="H18" i="4"/>
  <c r="H16" i="4"/>
  <c r="H22" i="3"/>
  <c r="E12" i="1" s="1"/>
  <c r="E41" i="4"/>
  <c r="F41" i="4"/>
  <c r="F59" i="4"/>
  <c r="H59" i="4"/>
  <c r="E59" i="4"/>
  <c r="G19" i="4"/>
  <c r="H48" i="4" l="1"/>
  <c r="H23" i="3"/>
  <c r="H42" i="3" s="1"/>
  <c r="E11" i="1"/>
  <c r="G90" i="3"/>
  <c r="F90" i="3"/>
  <c r="E90" i="3"/>
  <c r="D5" i="5"/>
  <c r="G9" i="4"/>
  <c r="G9" i="3" s="1"/>
  <c r="E75" i="3" l="1"/>
  <c r="F75" i="3"/>
  <c r="E59" i="3"/>
  <c r="F59" i="3"/>
  <c r="G75" i="3"/>
  <c r="G59" i="3"/>
  <c r="E43" i="3"/>
  <c r="F43" i="3"/>
  <c r="F7" i="3" l="1"/>
  <c r="G7" i="3"/>
  <c r="E19" i="4"/>
  <c r="F19" i="4"/>
  <c r="E9" i="4"/>
  <c r="F9" i="4"/>
  <c r="F9" i="3" s="1"/>
  <c r="F16" i="3" l="1"/>
  <c r="F15" i="3"/>
  <c r="E9" i="3"/>
  <c r="F28" i="4"/>
  <c r="F26" i="4"/>
  <c r="E26" i="4"/>
  <c r="E28" i="4"/>
  <c r="C5" i="5"/>
  <c r="C10" i="5" s="1"/>
  <c r="C14" i="5" s="1"/>
  <c r="C18" i="5" s="1"/>
  <c r="C21" i="5" s="1"/>
  <c r="C22" i="5" s="1"/>
  <c r="D10" i="5"/>
  <c r="D14" i="5" s="1"/>
  <c r="D18" i="5" s="1"/>
  <c r="D21" i="5" s="1"/>
  <c r="D22" i="5" s="1"/>
  <c r="G43" i="3"/>
  <c r="E16" i="3" l="1"/>
  <c r="E15" i="3"/>
  <c r="G26" i="4"/>
  <c r="G28" i="4"/>
  <c r="E29" i="4"/>
  <c r="F29" i="4"/>
  <c r="G29" i="4" l="1"/>
  <c r="E10" i="5" l="1"/>
  <c r="E14" i="5" s="1"/>
  <c r="E18" i="5" s="1"/>
  <c r="E21" i="5" s="1"/>
  <c r="E22" i="5" l="1"/>
  <c r="H50" i="4" l="1"/>
  <c r="H51" i="4" l="1"/>
  <c r="F3" i="5" s="1"/>
  <c r="H41" i="3" l="1"/>
  <c r="H43" i="3" s="1"/>
  <c r="H81" i="3" s="1"/>
  <c r="H90" i="3" s="1"/>
  <c r="F4" i="5" s="1"/>
  <c r="F5" i="5" s="1"/>
  <c r="F10" i="5" s="1"/>
  <c r="F14" i="5" s="1"/>
  <c r="F16" i="5" s="1"/>
  <c r="F18" i="5" s="1"/>
  <c r="F21" i="5" s="1"/>
  <c r="F22" i="5" l="1"/>
  <c r="E16" i="1"/>
  <c r="H5" i="1" s="1"/>
</calcChain>
</file>

<file path=xl/sharedStrings.xml><?xml version="1.0" encoding="utf-8"?>
<sst xmlns="http://schemas.openxmlformats.org/spreadsheetml/2006/main" count="201" uniqueCount="105">
  <si>
    <t>مقدار تولید</t>
  </si>
  <si>
    <t>شرح</t>
  </si>
  <si>
    <t>واحد</t>
  </si>
  <si>
    <t>تن</t>
  </si>
  <si>
    <t>جمع کل</t>
  </si>
  <si>
    <t>ریال</t>
  </si>
  <si>
    <t>مقدار تولید - داخلی</t>
  </si>
  <si>
    <t>مقدار تولید - صادراتی</t>
  </si>
  <si>
    <t>نسبت فروش  به کل فروش - داخلی</t>
  </si>
  <si>
    <t>نسبت فروش  به کل فروش - صادراتی</t>
  </si>
  <si>
    <t>نرخ فروش - داخلی</t>
  </si>
  <si>
    <t>نرخ فروش - صادراتی</t>
  </si>
  <si>
    <t>مقدار فروش (تعداد) - داخلی</t>
  </si>
  <si>
    <t>مقدار فروش (تعداد) - صادراتی</t>
  </si>
  <si>
    <t>سال 1403</t>
  </si>
  <si>
    <t>دلار</t>
  </si>
  <si>
    <t>مقدار مصرف مواد اولیه</t>
  </si>
  <si>
    <t>ضریب مصرف</t>
  </si>
  <si>
    <t>نرخ  مواد اولیه</t>
  </si>
  <si>
    <t>مبلغ  مواد مصرفی</t>
  </si>
  <si>
    <t>جمع</t>
  </si>
  <si>
    <t>سربار</t>
  </si>
  <si>
    <t>هزینه های اداری و عمومی و فروش</t>
  </si>
  <si>
    <t>بهای تمام شده کالای فروش رفته</t>
  </si>
  <si>
    <t>درآمدهای عملیاتی</t>
  </si>
  <si>
    <t>بهاى تمام شده درآمدهای عملیاتی</t>
  </si>
  <si>
    <t>سود (زيان) ناخالص</t>
  </si>
  <si>
    <t>هزينه‏‌هاى فروش، ادارى و عمومى</t>
  </si>
  <si>
    <t>هزینه کاهش ارزش دریافتنی‌‏ها (هزینه استثنایی)</t>
  </si>
  <si>
    <t>ساير درآمدها</t>
  </si>
  <si>
    <t>سایر هزینه‌ها</t>
  </si>
  <si>
    <t>سود (زيان) عملياتي</t>
  </si>
  <si>
    <t>هزينه‏‌هاى مالى</t>
  </si>
  <si>
    <t>سایر درآمدها و هزینه‌های غیرعملیاتی- درآمد سرمایه‌گذاری‌ها</t>
  </si>
  <si>
    <t>سایر درآمدها و هزینه‌های غیرعملیاتی- اقلام متفرقه</t>
  </si>
  <si>
    <t>سود (زيان) عمليات در حال تداوم قبل از ماليات</t>
  </si>
  <si>
    <t>هزینه مالیات بر درآمد:</t>
  </si>
  <si>
    <t>سال جاری</t>
  </si>
  <si>
    <t>سال‌های قبل</t>
  </si>
  <si>
    <t>سود (زيان) خالص عمليات در حال تداوم</t>
  </si>
  <si>
    <t>عملیات متوقف شده:</t>
  </si>
  <si>
    <t>سود (زیان) خالص عملیات متوقف شده</t>
  </si>
  <si>
    <t>سود (زيان) خالص</t>
  </si>
  <si>
    <t>سود (زيان) پايه هر سهم</t>
  </si>
  <si>
    <t>سرمایه</t>
  </si>
  <si>
    <t>قیمت دلار</t>
  </si>
  <si>
    <t>مفروضات تحلیل حساسیت</t>
  </si>
  <si>
    <t>برآورد سود خالص</t>
  </si>
  <si>
    <t>مجموعه آموزشی رز</t>
  </si>
  <si>
    <t>سود خالص</t>
  </si>
  <si>
    <t>اطلاعات تکمیلی</t>
  </si>
  <si>
    <t>ردیف</t>
  </si>
  <si>
    <t>مقدار فروش (تعداد)</t>
  </si>
  <si>
    <t>نسبت فروش  به کل فروش</t>
  </si>
  <si>
    <t>نرخ فروش</t>
  </si>
  <si>
    <t>دوره منتهي به 1401/12/29</t>
  </si>
  <si>
    <t>دوره منتهي به 1402/12/29</t>
  </si>
  <si>
    <t>جمع تولید</t>
  </si>
  <si>
    <t>دوره منتهي به 1403/12/30</t>
  </si>
  <si>
    <t>اکستراکت - کربنات - ملاس</t>
  </si>
  <si>
    <t>کيسه بيگ بگ - پاکت</t>
  </si>
  <si>
    <t>عدد</t>
  </si>
  <si>
    <t>هزینه حقوق و دستمزد</t>
  </si>
  <si>
    <t>هزینه استهلاک</t>
  </si>
  <si>
    <t>هزینه انرژی (آب، برق، گاز و سوخت)</t>
  </si>
  <si>
    <t>هزینه مواد مصرفی</t>
  </si>
  <si>
    <t>هزینه تبلیغات</t>
  </si>
  <si>
    <t>حق العمل و کمیسیون فروش</t>
  </si>
  <si>
    <t>هزینه خدمات پس از فروش</t>
  </si>
  <si>
    <t>هزینه مطالبات مشکوک الوصول</t>
  </si>
  <si>
    <t>هزینه حمل و نقل و انتقال</t>
  </si>
  <si>
    <t>سایر هزینه ها</t>
  </si>
  <si>
    <t>مواد مستقیم مصرفی</t>
  </si>
  <si>
    <t>دستمزدمستقيم توليد</t>
  </si>
  <si>
    <t>سربارتوليد</t>
  </si>
  <si>
    <t>هزينه جذب نشده درتوليد</t>
  </si>
  <si>
    <t>خالص موجودی كالاي درجريان ساخت</t>
  </si>
  <si>
    <t>ضايعات غيرعادي</t>
  </si>
  <si>
    <t>موجودي كالاي ساخته شده اول دوره</t>
  </si>
  <si>
    <t>موجودي كالاي ساخته شده پايان دوره</t>
  </si>
  <si>
    <t>بهاي تمام شده خدمات ارایه شده</t>
  </si>
  <si>
    <t xml:space="preserve">انواع گرید دوده </t>
  </si>
  <si>
    <t>انواع گرید دوده</t>
  </si>
  <si>
    <t xml:space="preserve">ضریب دوده داخلی به صادراتی </t>
  </si>
  <si>
    <t>نرخ دلار</t>
  </si>
  <si>
    <t>نرخ دوده دلاری</t>
  </si>
  <si>
    <t xml:space="preserve">نرخ دوده صادراتی </t>
  </si>
  <si>
    <t>نرخ دوده داخلی</t>
  </si>
  <si>
    <t>نرخ اکسترکت</t>
  </si>
  <si>
    <t>نرخ تسعیر</t>
  </si>
  <si>
    <t>نرخ دلاری دوده صادراتی</t>
  </si>
  <si>
    <t>اکستراکت</t>
  </si>
  <si>
    <t>تحلیل حساسیت شدوص</t>
  </si>
  <si>
    <t xml:space="preserve">نسبت سایر مواد به اکستراکت </t>
  </si>
  <si>
    <t xml:space="preserve">نسبت اکستراکت به دوده صادراتی </t>
  </si>
  <si>
    <t>دوره منتهی به 1404/12/29</t>
  </si>
  <si>
    <t>مبلغ فروش</t>
  </si>
  <si>
    <t>مبلغ فروش - داخلی</t>
  </si>
  <si>
    <t>مبلغ فروش - صادراتی</t>
  </si>
  <si>
    <t>ضریب نرخ رشد 1404 به 1403</t>
  </si>
  <si>
    <t>درصد</t>
  </si>
  <si>
    <t xml:space="preserve">ارزش بازار </t>
  </si>
  <si>
    <t>نرخ جهانی دوده</t>
  </si>
  <si>
    <t>ave</t>
  </si>
  <si>
    <t>برآورد شرکت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</si>
</sst>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_);[Red]\(0\)"/>
    <numFmt numFmtId="165" formatCode="#,##0;[Red]#,##0"/>
    <numFmt numFmtId="166" formatCode="_(* #,##0.0000_);_(* \(#,##0.0000\);_(* &quot;-&quot;??_);_(@_)"/>
    <numFmt numFmtId="167" formatCode="_(* #,##0.00000_);_(* \(#,##0.0000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3766C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rgb="FF43766C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E2A0"/>
        <bgColor indexed="64"/>
      </patternFill>
    </fill>
    <fill>
      <patternFill patternType="solid">
        <fgColor rgb="FF43766C"/>
        <bgColor indexed="64"/>
      </patternFill>
    </fill>
    <fill>
      <patternFill patternType="solid">
        <fgColor rgb="FFB1947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948118533890809E-2"/>
      </right>
      <top/>
      <bottom/>
      <diagonal/>
    </border>
    <border>
      <left style="thin">
        <color theme="6" tint="0.39997558519241921"/>
      </left>
      <right/>
      <top style="thin">
        <color theme="2"/>
      </top>
      <bottom style="thin">
        <color theme="6" tint="0.39997558519241921"/>
      </bottom>
      <diagonal/>
    </border>
    <border>
      <left/>
      <right/>
      <top style="thin">
        <color theme="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2"/>
      </top>
      <bottom style="thin">
        <color theme="6" tint="0.3999755851924192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 style="thin">
        <color theme="6" tint="0.39997558519241921"/>
      </left>
      <right/>
      <top style="thin">
        <color theme="6" tint="0.39994506668294322"/>
      </top>
      <bottom style="thin">
        <color theme="6" tint="0.39997558519241921"/>
      </bottom>
      <diagonal/>
    </border>
    <border>
      <left/>
      <right/>
      <top style="thin">
        <color theme="6" tint="0.39994506668294322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4506668294322"/>
      </top>
      <bottom style="thin">
        <color theme="6" tint="0.39997558519241921"/>
      </bottom>
      <diagonal/>
    </border>
    <border>
      <left style="thin">
        <color theme="6" tint="0.39997558519241921"/>
      </left>
      <right/>
      <top style="thin">
        <color theme="1" tint="0.499984740745262"/>
      </top>
      <bottom/>
      <diagonal/>
    </border>
    <border>
      <left/>
      <right style="thin">
        <color theme="6" tint="0.39997558519241921"/>
      </right>
      <top style="thin">
        <color theme="1" tint="0.499984740745262"/>
      </top>
      <bottom/>
      <diagonal/>
    </border>
    <border>
      <left style="thin">
        <color theme="6" tint="0.39997558519241921"/>
      </left>
      <right style="thin">
        <color indexed="64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0" tint="-0.249977111117893"/>
      </bottom>
      <diagonal/>
    </border>
    <border>
      <left style="thin">
        <color auto="1"/>
      </left>
      <right style="thin">
        <color theme="0" tint="-0.249977111117893"/>
      </right>
      <top/>
      <bottom/>
      <diagonal/>
    </border>
    <border>
      <left/>
      <right/>
      <top style="thin">
        <color theme="6" tint="0.39997558519241921"/>
      </top>
      <bottom style="thin">
        <color theme="2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theme="6" tint="0.39997558519241921"/>
      </top>
      <bottom style="thin">
        <color theme="0" tint="-0.249977111117893"/>
      </bottom>
      <diagonal/>
    </border>
    <border>
      <left style="thin">
        <color theme="6" tint="0.39997558519241921"/>
      </left>
      <right/>
      <top style="thin">
        <color theme="0" tint="-0.249977111117893"/>
      </top>
      <bottom style="thin">
        <color theme="6" tint="0.39997558519241921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 style="thin">
        <color auto="1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6" tint="0.39997558519241921"/>
      </top>
      <bottom style="thin">
        <color theme="0" tint="-0.249977111117893"/>
      </bottom>
      <diagonal/>
    </border>
    <border>
      <left style="thin">
        <color theme="6" tint="0.39997558519241921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6" tint="0.39997558519241921"/>
      </top>
      <bottom style="thin">
        <color theme="2"/>
      </bottom>
      <diagonal/>
    </border>
    <border>
      <left style="thin">
        <color theme="0" tint="-0.249977111117893"/>
      </left>
      <right style="thin">
        <color auto="1"/>
      </right>
      <top/>
      <bottom/>
      <diagonal/>
    </border>
    <border>
      <left style="thin">
        <color theme="6" tint="0.39997558519241921"/>
      </left>
      <right/>
      <top style="thin">
        <color theme="6" tint="0.39997558519241921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6" tint="0.39997558519241921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6" tint="0.39997558519241921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0" tint="-0.249977111117893"/>
      </right>
      <top style="thin">
        <color theme="6" tint="0.39997558519241921"/>
      </top>
      <bottom style="thin">
        <color theme="6" tint="0.39994506668294322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6" tint="0.39997558519241921"/>
      </left>
      <right style="thin">
        <color theme="1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/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3" fontId="0" fillId="0" borderId="0" xfId="0" applyNumberFormat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center" vertical="center" wrapText="1" shrinkToFit="1"/>
    </xf>
    <xf numFmtId="38" fontId="4" fillId="2" borderId="6" xfId="1" applyNumberFormat="1" applyFont="1" applyFill="1" applyBorder="1" applyAlignment="1">
      <alignment horizontal="center" vertical="center" wrapText="1" shrinkToFit="1"/>
    </xf>
    <xf numFmtId="164" fontId="5" fillId="6" borderId="14" xfId="1" applyNumberFormat="1" applyFont="1" applyFill="1" applyBorder="1" applyAlignment="1">
      <alignment horizontal="center" vertical="center" wrapText="1" shrinkToFit="1"/>
    </xf>
    <xf numFmtId="38" fontId="5" fillId="6" borderId="15" xfId="1" applyNumberFormat="1" applyFont="1" applyFill="1" applyBorder="1" applyAlignment="1">
      <alignment horizontal="center" vertical="center" wrapText="1" shrinkToFit="1"/>
    </xf>
    <xf numFmtId="3" fontId="2" fillId="7" borderId="1" xfId="0" applyNumberFormat="1" applyFont="1" applyFill="1" applyBorder="1" applyAlignment="1">
      <alignment horizontal="center" vertical="center" wrapText="1"/>
    </xf>
    <xf numFmtId="3" fontId="6" fillId="7" borderId="11" xfId="0" applyNumberFormat="1" applyFont="1" applyFill="1" applyBorder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2" fillId="7" borderId="12" xfId="0" applyNumberFormat="1" applyFont="1" applyFill="1" applyBorder="1" applyAlignment="1">
      <alignment vertical="center" wrapText="1"/>
    </xf>
    <xf numFmtId="3" fontId="2" fillId="7" borderId="17" xfId="0" applyNumberFormat="1" applyFont="1" applyFill="1" applyBorder="1" applyAlignment="1">
      <alignment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3" fontId="8" fillId="7" borderId="1" xfId="0" applyNumberFormat="1" applyFont="1" applyFill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20" xfId="0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3" fontId="2" fillId="4" borderId="24" xfId="2" applyNumberFormat="1" applyFont="1" applyFill="1" applyBorder="1" applyAlignment="1">
      <alignment horizontal="center" vertical="center" wrapText="1"/>
    </xf>
    <xf numFmtId="3" fontId="2" fillId="4" borderId="25" xfId="2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 indent="1"/>
    </xf>
    <xf numFmtId="3" fontId="10" fillId="7" borderId="1" xfId="0" applyNumberFormat="1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11" fillId="7" borderId="0" xfId="0" applyNumberFormat="1" applyFont="1" applyFill="1" applyAlignment="1">
      <alignment horizontal="center" vertical="center" wrapText="1"/>
    </xf>
    <xf numFmtId="3" fontId="12" fillId="7" borderId="0" xfId="0" applyNumberFormat="1" applyFont="1" applyFill="1" applyAlignment="1">
      <alignment horizontal="center" vertical="center" wrapText="1"/>
    </xf>
    <xf numFmtId="3" fontId="9" fillId="7" borderId="26" xfId="0" applyNumberFormat="1" applyFont="1" applyFill="1" applyBorder="1" applyAlignment="1">
      <alignment vertical="center" wrapText="1"/>
    </xf>
    <xf numFmtId="3" fontId="9" fillId="7" borderId="17" xfId="0" applyNumberFormat="1" applyFont="1" applyFill="1" applyBorder="1" applyAlignment="1">
      <alignment vertical="center" wrapText="1"/>
    </xf>
    <xf numFmtId="3" fontId="0" fillId="2" borderId="14" xfId="0" applyNumberFormat="1" applyFill="1" applyBorder="1" applyAlignment="1">
      <alignment horizontal="center" vertical="center" wrapText="1"/>
    </xf>
    <xf numFmtId="3" fontId="0" fillId="2" borderId="15" xfId="0" applyNumberFormat="1" applyFill="1" applyBorder="1" applyAlignment="1">
      <alignment horizontal="center" vertical="center" wrapText="1"/>
    </xf>
    <xf numFmtId="3" fontId="0" fillId="2" borderId="32" xfId="0" applyNumberFormat="1" applyFill="1" applyBorder="1" applyAlignment="1">
      <alignment horizontal="center" vertical="center" wrapText="1"/>
    </xf>
    <xf numFmtId="3" fontId="0" fillId="0" borderId="14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2" fillId="4" borderId="23" xfId="0" applyNumberFormat="1" applyFont="1" applyFill="1" applyBorder="1" applyAlignment="1">
      <alignment horizontal="center" vertical="center" wrapText="1"/>
    </xf>
    <xf numFmtId="3" fontId="2" fillId="4" borderId="24" xfId="0" applyNumberFormat="1" applyFont="1" applyFill="1" applyBorder="1" applyAlignment="1">
      <alignment horizontal="center" vertical="center" wrapText="1"/>
    </xf>
    <xf numFmtId="9" fontId="0" fillId="2" borderId="15" xfId="2" applyFont="1" applyFill="1" applyBorder="1" applyAlignment="1">
      <alignment horizontal="center" vertical="center" wrapText="1"/>
    </xf>
    <xf numFmtId="9" fontId="0" fillId="2" borderId="32" xfId="2" applyFont="1" applyFill="1" applyBorder="1" applyAlignment="1">
      <alignment horizontal="center" vertical="center" wrapText="1"/>
    </xf>
    <xf numFmtId="3" fontId="0" fillId="2" borderId="36" xfId="0" applyNumberFormat="1" applyFill="1" applyBorder="1" applyAlignment="1">
      <alignment horizontal="center" vertical="center" wrapText="1"/>
    </xf>
    <xf numFmtId="3" fontId="0" fillId="2" borderId="31" xfId="0" applyNumberFormat="1" applyFill="1" applyBorder="1" applyAlignment="1">
      <alignment horizontal="center" vertical="center" wrapText="1"/>
    </xf>
    <xf numFmtId="3" fontId="0" fillId="2" borderId="37" xfId="0" applyNumberFormat="1" applyFill="1" applyBorder="1" applyAlignment="1">
      <alignment horizontal="center" vertical="center" wrapText="1"/>
    </xf>
    <xf numFmtId="9" fontId="2" fillId="4" borderId="24" xfId="2" applyFont="1" applyFill="1" applyBorder="1" applyAlignment="1">
      <alignment horizontal="center" vertical="center" wrapText="1"/>
    </xf>
    <xf numFmtId="9" fontId="2" fillId="4" borderId="25" xfId="2" applyFont="1" applyFill="1" applyBorder="1" applyAlignment="1">
      <alignment horizontal="center" vertical="center" wrapText="1"/>
    </xf>
    <xf numFmtId="164" fontId="4" fillId="2" borderId="14" xfId="1" applyNumberFormat="1" applyFont="1" applyFill="1" applyBorder="1" applyAlignment="1">
      <alignment horizontal="center" vertical="center" wrapText="1" shrinkToFit="1"/>
    </xf>
    <xf numFmtId="38" fontId="4" fillId="2" borderId="15" xfId="1" applyNumberFormat="1" applyFont="1" applyFill="1" applyBorder="1" applyAlignment="1">
      <alignment horizontal="center" vertical="center" shrinkToFit="1"/>
    </xf>
    <xf numFmtId="38" fontId="4" fillId="2" borderId="32" xfId="1" applyNumberFormat="1" applyFont="1" applyFill="1" applyBorder="1" applyAlignment="1">
      <alignment horizontal="center" vertical="center" shrinkToFit="1"/>
    </xf>
    <xf numFmtId="164" fontId="4" fillId="0" borderId="14" xfId="1" applyNumberFormat="1" applyFont="1" applyBorder="1" applyAlignment="1">
      <alignment horizontal="center" vertical="center" wrapText="1" shrinkToFit="1"/>
    </xf>
    <xf numFmtId="38" fontId="4" fillId="0" borderId="15" xfId="1" applyNumberFormat="1" applyFont="1" applyBorder="1" applyAlignment="1">
      <alignment horizontal="center" vertical="center" shrinkToFit="1"/>
    </xf>
    <xf numFmtId="38" fontId="4" fillId="0" borderId="32" xfId="1" applyNumberFormat="1" applyFont="1" applyBorder="1" applyAlignment="1">
      <alignment horizontal="center" vertical="center" shrinkToFit="1"/>
    </xf>
    <xf numFmtId="164" fontId="5" fillId="6" borderId="33" xfId="0" applyNumberFormat="1" applyFont="1" applyFill="1" applyBorder="1" applyAlignment="1">
      <alignment horizontal="center" vertical="center" wrapText="1" shrinkToFit="1"/>
    </xf>
    <xf numFmtId="38" fontId="5" fillId="6" borderId="34" xfId="0" applyNumberFormat="1" applyFont="1" applyFill="1" applyBorder="1" applyAlignment="1">
      <alignment horizontal="center" vertical="center" wrapText="1" shrinkToFit="1"/>
    </xf>
    <xf numFmtId="38" fontId="5" fillId="6" borderId="35" xfId="0" applyNumberFormat="1" applyFont="1" applyFill="1" applyBorder="1" applyAlignment="1">
      <alignment horizontal="center" vertical="center" wrapText="1" shrinkToFit="1"/>
    </xf>
    <xf numFmtId="38" fontId="4" fillId="0" borderId="15" xfId="1" applyNumberFormat="1" applyFont="1" applyBorder="1" applyAlignment="1">
      <alignment horizontal="center" vertical="center" wrapText="1" shrinkToFit="1"/>
    </xf>
    <xf numFmtId="38" fontId="4" fillId="2" borderId="15" xfId="1" applyNumberFormat="1" applyFont="1" applyFill="1" applyBorder="1" applyAlignment="1">
      <alignment horizontal="center" vertical="center" wrapText="1" shrinkToFit="1"/>
    </xf>
    <xf numFmtId="38" fontId="5" fillId="6" borderId="33" xfId="0" applyNumberFormat="1" applyFont="1" applyFill="1" applyBorder="1" applyAlignment="1">
      <alignment horizontal="center" vertical="center" wrapText="1" shrinkToFit="1"/>
    </xf>
    <xf numFmtId="3" fontId="4" fillId="2" borderId="14" xfId="0" applyNumberFormat="1" applyFont="1" applyFill="1" applyBorder="1" applyAlignment="1">
      <alignment horizontal="center" vertical="center" wrapText="1"/>
    </xf>
    <xf numFmtId="3" fontId="4" fillId="2" borderId="15" xfId="0" applyNumberFormat="1" applyFont="1" applyFill="1" applyBorder="1" applyAlignment="1">
      <alignment horizontal="center" vertical="center" wrapText="1"/>
    </xf>
    <xf numFmtId="3" fontId="4" fillId="2" borderId="32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3" fontId="0" fillId="0" borderId="38" xfId="0" applyNumberFormat="1" applyBorder="1" applyAlignment="1">
      <alignment horizontal="center" vertical="center" wrapText="1"/>
    </xf>
    <xf numFmtId="3" fontId="0" fillId="0" borderId="39" xfId="0" applyNumberFormat="1" applyBorder="1" applyAlignment="1">
      <alignment horizontal="center" vertical="center" wrapText="1"/>
    </xf>
    <xf numFmtId="4" fontId="0" fillId="2" borderId="15" xfId="0" applyNumberFormat="1" applyFill="1" applyBorder="1" applyAlignment="1">
      <alignment horizontal="center" vertical="center" wrapText="1"/>
    </xf>
    <xf numFmtId="4" fontId="0" fillId="2" borderId="32" xfId="0" applyNumberFormat="1" applyFill="1" applyBorder="1" applyAlignment="1">
      <alignment horizontal="center" vertical="center" wrapText="1"/>
    </xf>
    <xf numFmtId="3" fontId="0" fillId="0" borderId="41" xfId="0" applyNumberFormat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 vertical="center" wrapText="1"/>
    </xf>
    <xf numFmtId="3" fontId="0" fillId="0" borderId="43" xfId="0" applyNumberFormat="1" applyBorder="1" applyAlignment="1">
      <alignment horizontal="center" vertical="center" wrapText="1"/>
    </xf>
    <xf numFmtId="3" fontId="0" fillId="2" borderId="44" xfId="0" applyNumberFormat="1" applyFill="1" applyBorder="1" applyAlignment="1">
      <alignment horizontal="center" vertical="center" wrapText="1"/>
    </xf>
    <xf numFmtId="3" fontId="2" fillId="4" borderId="45" xfId="0" applyNumberFormat="1" applyFont="1" applyFill="1" applyBorder="1" applyAlignment="1">
      <alignment horizontal="center" vertical="center" wrapText="1"/>
    </xf>
    <xf numFmtId="3" fontId="2" fillId="4" borderId="46" xfId="0" applyNumberFormat="1" applyFont="1" applyFill="1" applyBorder="1" applyAlignment="1">
      <alignment horizontal="center" vertical="center" wrapText="1"/>
    </xf>
    <xf numFmtId="3" fontId="0" fillId="0" borderId="47" xfId="0" applyNumberFormat="1" applyBorder="1" applyAlignment="1">
      <alignment horizontal="center" vertical="center" wrapText="1"/>
    </xf>
    <xf numFmtId="3" fontId="2" fillId="4" borderId="48" xfId="0" applyNumberFormat="1" applyFont="1" applyFill="1" applyBorder="1" applyAlignment="1">
      <alignment horizontal="center" vertical="center" wrapText="1"/>
    </xf>
    <xf numFmtId="3" fontId="2" fillId="4" borderId="49" xfId="0" applyNumberFormat="1" applyFont="1" applyFill="1" applyBorder="1" applyAlignment="1">
      <alignment horizontal="center" vertical="center" wrapText="1"/>
    </xf>
    <xf numFmtId="3" fontId="0" fillId="0" borderId="46" xfId="0" applyNumberFormat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 vertical="center" wrapText="1"/>
    </xf>
    <xf numFmtId="3" fontId="0" fillId="0" borderId="52" xfId="0" applyNumberFormat="1" applyBorder="1" applyAlignment="1">
      <alignment horizontal="center" vertical="center" wrapText="1"/>
    </xf>
    <xf numFmtId="3" fontId="0" fillId="0" borderId="53" xfId="0" applyNumberFormat="1" applyBorder="1" applyAlignment="1">
      <alignment horizontal="center" vertical="center" wrapText="1"/>
    </xf>
    <xf numFmtId="3" fontId="0" fillId="0" borderId="54" xfId="0" applyNumberFormat="1" applyBorder="1" applyAlignment="1">
      <alignment horizontal="center" vertical="center" wrapText="1"/>
    </xf>
    <xf numFmtId="3" fontId="0" fillId="0" borderId="40" xfId="0" applyNumberFormat="1" applyBorder="1" applyAlignment="1">
      <alignment horizontal="center" vertical="center" wrapText="1"/>
    </xf>
    <xf numFmtId="3" fontId="0" fillId="2" borderId="54" xfId="0" applyNumberFormat="1" applyFill="1" applyBorder="1" applyAlignment="1">
      <alignment horizontal="center" vertical="center" wrapText="1"/>
    </xf>
    <xf numFmtId="3" fontId="0" fillId="2" borderId="57" xfId="0" applyNumberFormat="1" applyFill="1" applyBorder="1" applyAlignment="1">
      <alignment horizontal="center" vertical="center" wrapText="1"/>
    </xf>
    <xf numFmtId="3" fontId="0" fillId="0" borderId="59" xfId="0" applyNumberFormat="1" applyBorder="1" applyAlignment="1">
      <alignment horizontal="center" vertical="center" wrapText="1"/>
    </xf>
    <xf numFmtId="3" fontId="0" fillId="0" borderId="55" xfId="0" applyNumberFormat="1" applyBorder="1" applyAlignment="1">
      <alignment horizontal="center" vertical="center" wrapText="1"/>
    </xf>
    <xf numFmtId="3" fontId="0" fillId="0" borderId="62" xfId="0" applyNumberFormat="1" applyBorder="1" applyAlignment="1">
      <alignment horizontal="center" vertical="center" wrapText="1"/>
    </xf>
    <xf numFmtId="4" fontId="0" fillId="0" borderId="50" xfId="1" applyNumberFormat="1" applyFont="1" applyFill="1" applyBorder="1" applyAlignment="1">
      <alignment horizontal="center" vertical="center" wrapText="1"/>
    </xf>
    <xf numFmtId="4" fontId="0" fillId="0" borderId="40" xfId="1" applyNumberFormat="1" applyFont="1" applyBorder="1" applyAlignment="1">
      <alignment horizontal="center" vertical="center" wrapText="1"/>
    </xf>
    <xf numFmtId="9" fontId="0" fillId="2" borderId="57" xfId="2" applyFont="1" applyFill="1" applyBorder="1" applyAlignment="1">
      <alignment horizontal="center" vertical="center" wrapText="1"/>
    </xf>
    <xf numFmtId="38" fontId="4" fillId="2" borderId="56" xfId="1" applyNumberFormat="1" applyFont="1" applyFill="1" applyBorder="1" applyAlignment="1">
      <alignment horizontal="center" vertical="center" shrinkToFit="1"/>
    </xf>
    <xf numFmtId="38" fontId="5" fillId="6" borderId="51" xfId="0" applyNumberFormat="1" applyFont="1" applyFill="1" applyBorder="1" applyAlignment="1">
      <alignment horizontal="center" vertical="center" wrapText="1" shrinkToFit="1"/>
    </xf>
    <xf numFmtId="38" fontId="4" fillId="2" borderId="48" xfId="1" applyNumberFormat="1" applyFont="1" applyFill="1" applyBorder="1" applyAlignment="1">
      <alignment horizontal="center" vertical="center" shrinkToFit="1"/>
    </xf>
    <xf numFmtId="38" fontId="4" fillId="2" borderId="60" xfId="1" applyNumberFormat="1" applyFont="1" applyFill="1" applyBorder="1" applyAlignment="1">
      <alignment horizontal="center" vertical="center" shrinkToFit="1"/>
    </xf>
    <xf numFmtId="38" fontId="4" fillId="0" borderId="51" xfId="1" applyNumberFormat="1" applyFont="1" applyBorder="1" applyAlignment="1">
      <alignment horizontal="center" vertical="center" shrinkToFit="1"/>
    </xf>
    <xf numFmtId="38" fontId="4" fillId="0" borderId="61" xfId="1" applyNumberFormat="1" applyFont="1" applyBorder="1" applyAlignment="1">
      <alignment horizontal="center" vertical="center" shrinkToFit="1"/>
    </xf>
    <xf numFmtId="38" fontId="4" fillId="2" borderId="50" xfId="1" applyNumberFormat="1" applyFont="1" applyFill="1" applyBorder="1" applyAlignment="1">
      <alignment horizontal="center" vertical="center" shrinkToFit="1"/>
    </xf>
    <xf numFmtId="38" fontId="5" fillId="6" borderId="57" xfId="1" applyNumberFormat="1" applyFont="1" applyFill="1" applyBorder="1" applyAlignment="1">
      <alignment horizontal="center" vertical="center" wrapText="1" shrinkToFit="1"/>
    </xf>
    <xf numFmtId="38" fontId="5" fillId="6" borderId="58" xfId="1" applyNumberFormat="1" applyFont="1" applyFill="1" applyBorder="1" applyAlignment="1">
      <alignment horizontal="center" vertical="center" wrapText="1" shrinkToFit="1"/>
    </xf>
    <xf numFmtId="38" fontId="4" fillId="2" borderId="51" xfId="1" applyNumberFormat="1" applyFont="1" applyFill="1" applyBorder="1" applyAlignment="1">
      <alignment horizontal="center" vertical="center" shrinkToFit="1"/>
    </xf>
    <xf numFmtId="38" fontId="4" fillId="0" borderId="60" xfId="1" applyNumberFormat="1" applyFont="1" applyBorder="1" applyAlignment="1">
      <alignment horizontal="center" vertical="center" wrapText="1" shrinkToFit="1"/>
    </xf>
    <xf numFmtId="38" fontId="4" fillId="0" borderId="63" xfId="1" applyNumberFormat="1" applyFont="1" applyBorder="1" applyAlignment="1">
      <alignment horizontal="center" vertical="center" wrapText="1" shrinkToFit="1"/>
    </xf>
    <xf numFmtId="38" fontId="4" fillId="2" borderId="57" xfId="1" applyNumberFormat="1" applyFont="1" applyFill="1" applyBorder="1" applyAlignment="1">
      <alignment horizontal="center" vertical="center" shrinkToFit="1"/>
    </xf>
    <xf numFmtId="38" fontId="4" fillId="2" borderId="63" xfId="1" applyNumberFormat="1" applyFont="1" applyFill="1" applyBorder="1" applyAlignment="1">
      <alignment horizontal="center" vertical="center" shrinkToFit="1"/>
    </xf>
    <xf numFmtId="38" fontId="4" fillId="0" borderId="57" xfId="1" applyNumberFormat="1" applyFont="1" applyBorder="1" applyAlignment="1">
      <alignment horizontal="center" vertical="center" wrapText="1" shrinkToFit="1"/>
    </xf>
    <xf numFmtId="38" fontId="4" fillId="2" borderId="57" xfId="1" applyNumberFormat="1" applyFont="1" applyFill="1" applyBorder="1" applyAlignment="1">
      <alignment horizontal="center" vertical="center" wrapText="1" shrinkToFit="1"/>
    </xf>
    <xf numFmtId="38" fontId="4" fillId="0" borderId="63" xfId="1" applyNumberFormat="1" applyFont="1" applyBorder="1" applyAlignment="1">
      <alignment horizontal="center" vertical="center" shrinkToFit="1"/>
    </xf>
    <xf numFmtId="38" fontId="4" fillId="0" borderId="58" xfId="1" applyNumberFormat="1" applyFont="1" applyBorder="1" applyAlignment="1">
      <alignment horizontal="center" vertical="center" shrinkToFit="1"/>
    </xf>
    <xf numFmtId="3" fontId="0" fillId="0" borderId="64" xfId="0" applyNumberFormat="1" applyBorder="1" applyAlignment="1">
      <alignment horizontal="center" vertical="center" wrapText="1"/>
    </xf>
    <xf numFmtId="3" fontId="0" fillId="0" borderId="65" xfId="0" applyNumberFormat="1" applyBorder="1" applyAlignment="1">
      <alignment horizontal="center" vertical="center" wrapText="1"/>
    </xf>
    <xf numFmtId="3" fontId="0" fillId="0" borderId="66" xfId="0" applyNumberFormat="1" applyBorder="1" applyAlignment="1">
      <alignment horizontal="center" vertical="center" wrapText="1"/>
    </xf>
    <xf numFmtId="3" fontId="2" fillId="4" borderId="24" xfId="1" applyNumberFormat="1" applyFont="1" applyFill="1" applyBorder="1" applyAlignment="1">
      <alignment horizontal="center" vertical="center" wrapText="1"/>
    </xf>
    <xf numFmtId="9" fontId="3" fillId="5" borderId="1" xfId="2" applyFont="1" applyFill="1" applyBorder="1" applyAlignment="1">
      <alignment horizontal="center" vertical="center"/>
    </xf>
    <xf numFmtId="3" fontId="0" fillId="0" borderId="57" xfId="0" applyNumberFormat="1" applyBorder="1" applyAlignment="1">
      <alignment horizontal="center" vertical="center" wrapText="1"/>
    </xf>
    <xf numFmtId="0" fontId="0" fillId="0" borderId="67" xfId="0" applyBorder="1"/>
    <xf numFmtId="3" fontId="0" fillId="0" borderId="67" xfId="0" applyNumberFormat="1" applyBorder="1" applyAlignment="1">
      <alignment horizontal="center" vertical="center" wrapText="1"/>
    </xf>
    <xf numFmtId="3" fontId="0" fillId="0" borderId="68" xfId="0" applyNumberFormat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horizontal="center" vertical="center"/>
    </xf>
    <xf numFmtId="3" fontId="3" fillId="5" borderId="69" xfId="1" applyNumberFormat="1" applyFont="1" applyFill="1" applyBorder="1" applyAlignment="1">
      <alignment horizontal="center" vertical="center"/>
    </xf>
    <xf numFmtId="3" fontId="0" fillId="0" borderId="70" xfId="0" applyNumberFormat="1" applyBorder="1" applyAlignment="1">
      <alignment horizontal="center" vertical="center" wrapText="1"/>
    </xf>
    <xf numFmtId="43" fontId="0" fillId="2" borderId="50" xfId="1" applyFont="1" applyFill="1" applyBorder="1" applyAlignment="1">
      <alignment horizontal="center" vertical="center" wrapText="1"/>
    </xf>
    <xf numFmtId="43" fontId="0" fillId="2" borderId="56" xfId="1" applyFont="1" applyFill="1" applyBorder="1" applyAlignment="1">
      <alignment horizontal="center" vertical="center" wrapText="1"/>
    </xf>
    <xf numFmtId="166" fontId="0" fillId="2" borderId="50" xfId="1" applyNumberFormat="1" applyFont="1" applyFill="1" applyBorder="1" applyAlignment="1">
      <alignment horizontal="center" vertical="center" wrapText="1"/>
    </xf>
    <xf numFmtId="166" fontId="0" fillId="2" borderId="15" xfId="1" applyNumberFormat="1" applyFont="1" applyFill="1" applyBorder="1" applyAlignment="1">
      <alignment horizontal="center" vertical="center" wrapText="1"/>
    </xf>
    <xf numFmtId="166" fontId="0" fillId="2" borderId="56" xfId="1" applyNumberFormat="1" applyFont="1" applyFill="1" applyBorder="1" applyAlignment="1">
      <alignment horizontal="center" vertical="center" wrapText="1"/>
    </xf>
    <xf numFmtId="167" fontId="0" fillId="0" borderId="0" xfId="1" applyNumberFormat="1" applyFont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3" fontId="0" fillId="2" borderId="50" xfId="0" applyNumberFormat="1" applyFill="1" applyBorder="1" applyAlignment="1">
      <alignment horizontal="center" vertical="center" wrapText="1"/>
    </xf>
    <xf numFmtId="3" fontId="8" fillId="7" borderId="2" xfId="0" applyNumberFormat="1" applyFont="1" applyFill="1" applyBorder="1" applyAlignment="1">
      <alignment horizontal="center" vertical="center" wrapText="1"/>
    </xf>
    <xf numFmtId="3" fontId="8" fillId="7" borderId="3" xfId="0" applyNumberFormat="1" applyFont="1" applyFill="1" applyBorder="1" applyAlignment="1">
      <alignment horizontal="center" vertical="center" wrapText="1"/>
    </xf>
    <xf numFmtId="3" fontId="8" fillId="7" borderId="4" xfId="0" applyNumberFormat="1" applyFont="1" applyFill="1" applyBorder="1" applyAlignment="1">
      <alignment horizontal="center" vertical="center" wrapText="1"/>
    </xf>
    <xf numFmtId="3" fontId="7" fillId="7" borderId="0" xfId="0" applyNumberFormat="1" applyFont="1" applyFill="1" applyAlignment="1">
      <alignment horizontal="center" vertical="center" wrapText="1"/>
    </xf>
    <xf numFmtId="3" fontId="7" fillId="7" borderId="16" xfId="0" applyNumberFormat="1" applyFont="1" applyFill="1" applyBorder="1" applyAlignment="1">
      <alignment horizontal="center" vertical="center" textRotation="90" wrapText="1"/>
    </xf>
    <xf numFmtId="3" fontId="7" fillId="7" borderId="13" xfId="0" applyNumberFormat="1" applyFont="1" applyFill="1" applyBorder="1" applyAlignment="1">
      <alignment horizontal="center" vertical="center" textRotation="90" wrapText="1"/>
    </xf>
    <xf numFmtId="3" fontId="7" fillId="7" borderId="2" xfId="0" applyNumberFormat="1" applyFont="1" applyFill="1" applyBorder="1" applyAlignment="1">
      <alignment horizontal="center" vertical="center" wrapText="1"/>
    </xf>
    <xf numFmtId="3" fontId="7" fillId="7" borderId="3" xfId="0" applyNumberFormat="1" applyFont="1" applyFill="1" applyBorder="1" applyAlignment="1">
      <alignment horizontal="center" vertical="center" wrapText="1"/>
    </xf>
    <xf numFmtId="3" fontId="7" fillId="7" borderId="4" xfId="0" applyNumberFormat="1" applyFont="1" applyFill="1" applyBorder="1" applyAlignment="1">
      <alignment horizontal="center" vertical="center" wrapText="1"/>
    </xf>
    <xf numFmtId="3" fontId="9" fillId="8" borderId="8" xfId="0" applyNumberFormat="1" applyFont="1" applyFill="1" applyBorder="1" applyAlignment="1">
      <alignment horizontal="center" vertical="center" wrapText="1"/>
    </xf>
    <xf numFmtId="3" fontId="9" fillId="8" borderId="9" xfId="0" applyNumberFormat="1" applyFont="1" applyFill="1" applyBorder="1" applyAlignment="1">
      <alignment horizontal="center" vertical="center" wrapText="1"/>
    </xf>
    <xf numFmtId="3" fontId="9" fillId="8" borderId="10" xfId="0" applyNumberFormat="1" applyFont="1" applyFill="1" applyBorder="1" applyAlignment="1">
      <alignment horizontal="center" vertical="center" wrapText="1"/>
    </xf>
    <xf numFmtId="3" fontId="9" fillId="7" borderId="12" xfId="0" applyNumberFormat="1" applyFont="1" applyFill="1" applyBorder="1" applyAlignment="1">
      <alignment horizontal="center" vertical="center" wrapText="1"/>
    </xf>
    <xf numFmtId="3" fontId="9" fillId="7" borderId="26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4">
    <dxf>
      <numFmt numFmtId="3" formatCode="#,##0"/>
      <alignment horizontal="right" vertical="center" textRotation="0" wrapText="1" relativeIndent="1" justifyLastLine="0" shrinkToFit="0" readingOrder="0"/>
      <border outline="0">
        <left style="thin">
          <color theme="2" tint="-9.9948118533890809E-2"/>
        </left>
      </border>
    </dxf>
    <dxf>
      <font>
        <b/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/>
        <right style="thin">
          <color theme="2" tint="-9.9948118533890809E-2"/>
        </right>
        <top/>
        <bottom/>
      </border>
    </dxf>
    <dxf>
      <alignment horizontal="center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rgb="FF43766C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4747"/>
      <color rgb="FF43766C"/>
      <color rgb="FFB19470"/>
      <color rgb="FFF2F2F2"/>
      <color rgb="FFFFC7CE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114301</xdr:colOff>
      <xdr:row>2</xdr:row>
      <xdr:rowOff>57150</xdr:rowOff>
    </xdr:from>
    <xdr:to>
      <xdr:col>2</xdr:col>
      <xdr:colOff>504825</xdr:colOff>
      <xdr:row>2</xdr:row>
      <xdr:rowOff>447674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7B1437D-69A7-59E7-B982-0612A6A5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724750" y="561975"/>
          <a:ext cx="390524" cy="3905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322EB34-1B09-497E-B448-5E9A729272CC}" name="Table28" displayName="Table28" ref="B2:C12" totalsRowShown="0" headerRowDxfId="3" dataDxfId="2">
  <autoFilter ref="B2:C12" xr:uid="{2322EB34-1B09-497E-B448-5E9A729272CC}"/>
  <tableColumns count="2">
    <tableColumn id="1" xr3:uid="{4A19357B-0EEE-4468-9481-8BA213970C10}" name="ردیف" dataDxfId="1">
      <calculatedColumnFormula>IF(Table28[[#This Row],[اطلاعات تکمیلی]]="","",ROW()-2)</calculatedColumnFormula>
    </tableColumn>
    <tableColumn id="2" xr3:uid="{3AFDBDFB-4344-4BF2-BD74-FF8FE0B5205F}" name="اطلاعات تکمیلی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282A5-FBAF-4E00-8989-0626A9526FC2}">
  <dimension ref="A2:S18"/>
  <sheetViews>
    <sheetView showGridLines="0" rightToLeft="1" tabSelected="1" topLeftCell="A4" workbookViewId="0">
      <selection activeCell="K14" sqref="K14"/>
    </sheetView>
  </sheetViews>
  <sheetFormatPr defaultRowHeight="30" customHeight="1" x14ac:dyDescent="0.25"/>
  <cols>
    <col min="1" max="1" width="5.7109375" style="1" customWidth="1"/>
    <col min="2" max="2" width="1.7109375" style="1" customWidth="1"/>
    <col min="3" max="3" width="28.140625" style="1" customWidth="1"/>
    <col min="4" max="4" width="9.140625" style="1"/>
    <col min="5" max="5" width="16.7109375" style="1" customWidth="1"/>
    <col min="6" max="6" width="1.7109375" style="1" customWidth="1"/>
    <col min="7" max="7" width="9.140625" style="1"/>
    <col min="8" max="8" width="12.7109375" style="1" customWidth="1"/>
    <col min="9" max="17" width="13.7109375" style="1" customWidth="1"/>
    <col min="18" max="18" width="1.7109375" style="1" customWidth="1"/>
    <col min="19" max="16384" width="9.140625" style="1"/>
  </cols>
  <sheetData>
    <row r="2" spans="1:19" ht="9.9499999999999993" customHeight="1" x14ac:dyDescent="0.25"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</row>
    <row r="3" spans="1:19" ht="39.950000000000003" customHeight="1" x14ac:dyDescent="0.25">
      <c r="B3" s="18"/>
      <c r="C3" s="139" t="s">
        <v>48</v>
      </c>
      <c r="D3" s="139"/>
      <c r="E3" s="139"/>
      <c r="G3" s="142" t="s">
        <v>92</v>
      </c>
      <c r="H3" s="143"/>
      <c r="I3" s="143"/>
      <c r="J3" s="143"/>
      <c r="K3" s="143"/>
      <c r="L3" s="143"/>
      <c r="M3" s="143"/>
      <c r="N3" s="143"/>
      <c r="O3" s="143"/>
      <c r="P3" s="143"/>
      <c r="Q3" s="144"/>
      <c r="R3" s="19"/>
    </row>
    <row r="4" spans="1:19" ht="35.1" customHeight="1" x14ac:dyDescent="0.25">
      <c r="B4" s="18"/>
      <c r="G4" s="11"/>
      <c r="H4" s="12"/>
      <c r="I4" s="142" t="s">
        <v>45</v>
      </c>
      <c r="J4" s="143"/>
      <c r="K4" s="143"/>
      <c r="L4" s="143"/>
      <c r="M4" s="143"/>
      <c r="N4" s="143"/>
      <c r="O4" s="143"/>
      <c r="P4" s="143"/>
      <c r="Q4" s="144"/>
      <c r="R4" s="19"/>
    </row>
    <row r="5" spans="1:19" ht="35.1" customHeight="1" x14ac:dyDescent="0.25">
      <c r="B5" s="18"/>
      <c r="C5" s="136" t="s">
        <v>46</v>
      </c>
      <c r="D5" s="137"/>
      <c r="E5" s="138"/>
      <c r="G5" s="7"/>
      <c r="H5" s="25">
        <f>E16</f>
        <v>5328276.6300723962</v>
      </c>
      <c r="I5" s="6">
        <v>700000</v>
      </c>
      <c r="J5" s="6">
        <v>720000</v>
      </c>
      <c r="K5" s="6">
        <v>740000</v>
      </c>
      <c r="L5" s="6">
        <v>760000</v>
      </c>
      <c r="M5" s="6">
        <v>780000</v>
      </c>
      <c r="N5" s="6">
        <v>800000</v>
      </c>
      <c r="O5" s="6">
        <v>820000</v>
      </c>
      <c r="P5" s="6">
        <v>840000</v>
      </c>
      <c r="Q5" s="6">
        <v>860000</v>
      </c>
      <c r="R5" s="19"/>
    </row>
    <row r="6" spans="1:19" ht="35.1" customHeight="1" x14ac:dyDescent="0.25">
      <c r="B6" s="18"/>
      <c r="C6" s="10" t="s">
        <v>1</v>
      </c>
      <c r="D6" s="10" t="s">
        <v>2</v>
      </c>
      <c r="E6" s="14" t="s">
        <v>14</v>
      </c>
      <c r="G6" s="140" t="s">
        <v>102</v>
      </c>
      <c r="H6" s="6">
        <v>750</v>
      </c>
      <c r="I6" s="13">
        <f t="dataTable" ref="I6:Q14" dt2D="1" dtr="1" r1="E8" r2="E9"/>
        <v>3356228.4224727922</v>
      </c>
      <c r="J6" s="13">
        <v>3559532.3614005847</v>
      </c>
      <c r="K6" s="13">
        <v>3762836.3003283842</v>
      </c>
      <c r="L6" s="13">
        <v>3966140.2392561771</v>
      </c>
      <c r="M6" s="13">
        <v>4169444.1781839663</v>
      </c>
      <c r="N6" s="13">
        <v>4372748.117111763</v>
      </c>
      <c r="O6" s="13">
        <v>4576052.056039555</v>
      </c>
      <c r="P6" s="13">
        <v>4779355.9949673545</v>
      </c>
      <c r="Q6" s="13">
        <v>4982659.9338951446</v>
      </c>
      <c r="R6" s="19"/>
    </row>
    <row r="7" spans="1:19" ht="35.1" customHeight="1" x14ac:dyDescent="0.25">
      <c r="B7" s="18"/>
      <c r="C7" s="8" t="s">
        <v>0</v>
      </c>
      <c r="D7" s="8" t="s">
        <v>3</v>
      </c>
      <c r="E7" s="9">
        <v>39000</v>
      </c>
      <c r="G7" s="141"/>
      <c r="H7" s="6">
        <v>780</v>
      </c>
      <c r="I7" s="13">
        <v>3640853.9369717082</v>
      </c>
      <c r="J7" s="13">
        <v>3852290.0334566128</v>
      </c>
      <c r="K7" s="13">
        <v>4063726.1299415142</v>
      </c>
      <c r="L7" s="13">
        <v>4275162.2264264254</v>
      </c>
      <c r="M7" s="13">
        <v>4486598.322911324</v>
      </c>
      <c r="N7" s="13">
        <v>4698034.4193962347</v>
      </c>
      <c r="O7" s="13">
        <v>4909470.5158811361</v>
      </c>
      <c r="P7" s="13">
        <v>5120906.6123660412</v>
      </c>
      <c r="Q7" s="13">
        <v>5332342.7088509556</v>
      </c>
      <c r="R7" s="19"/>
    </row>
    <row r="8" spans="1:19" ht="35.1" customHeight="1" x14ac:dyDescent="0.25">
      <c r="B8" s="18"/>
      <c r="C8" s="8" t="s">
        <v>84</v>
      </c>
      <c r="D8" s="8" t="s">
        <v>5</v>
      </c>
      <c r="E8" s="9">
        <v>750000</v>
      </c>
      <c r="G8" s="141"/>
      <c r="H8" s="6">
        <v>810</v>
      </c>
      <c r="I8" s="13">
        <v>3925479.4514706172</v>
      </c>
      <c r="J8" s="13">
        <v>4145047.7055126373</v>
      </c>
      <c r="K8" s="13">
        <v>4364615.9595546508</v>
      </c>
      <c r="L8" s="13">
        <v>4584184.2135966672</v>
      </c>
      <c r="M8" s="13">
        <v>4803752.467638691</v>
      </c>
      <c r="N8" s="13">
        <v>5023320.7216807045</v>
      </c>
      <c r="O8" s="13">
        <v>5242888.9757227208</v>
      </c>
      <c r="P8" s="13">
        <v>5462457.2297647409</v>
      </c>
      <c r="Q8" s="13">
        <v>5682025.4838067507</v>
      </c>
      <c r="R8" s="19"/>
    </row>
    <row r="9" spans="1:19" ht="35.1" customHeight="1" x14ac:dyDescent="0.25">
      <c r="B9" s="18"/>
      <c r="C9" s="8" t="s">
        <v>85</v>
      </c>
      <c r="D9" s="8" t="s">
        <v>15</v>
      </c>
      <c r="E9" s="9">
        <v>894</v>
      </c>
      <c r="G9" s="141"/>
      <c r="H9" s="6">
        <v>840</v>
      </c>
      <c r="I9" s="13">
        <v>4210104.9659695299</v>
      </c>
      <c r="J9" s="13">
        <v>4437805.3775686584</v>
      </c>
      <c r="K9" s="13">
        <v>4665505.7891677869</v>
      </c>
      <c r="L9" s="13">
        <v>4893206.2007669155</v>
      </c>
      <c r="M9" s="13">
        <v>5120906.6123660412</v>
      </c>
      <c r="N9" s="13">
        <v>5348607.0239651697</v>
      </c>
      <c r="O9" s="13">
        <v>5576307.4355643056</v>
      </c>
      <c r="P9" s="13">
        <v>5804007.8471634304</v>
      </c>
      <c r="Q9" s="13">
        <v>6031708.2587625626</v>
      </c>
      <c r="R9" s="19"/>
    </row>
    <row r="10" spans="1:19" ht="35.1" customHeight="1" x14ac:dyDescent="0.25">
      <c r="B10" s="18"/>
      <c r="C10" s="8" t="s">
        <v>86</v>
      </c>
      <c r="D10" s="8" t="s">
        <v>5</v>
      </c>
      <c r="E10" s="9">
        <f>درآمد!H38</f>
        <v>670500000</v>
      </c>
      <c r="G10" s="141"/>
      <c r="H10" s="6">
        <v>870</v>
      </c>
      <c r="I10" s="13">
        <v>4494730.4804684427</v>
      </c>
      <c r="J10" s="13">
        <v>4730563.0496246796</v>
      </c>
      <c r="K10" s="13">
        <v>4966395.618780924</v>
      </c>
      <c r="L10" s="13">
        <v>5202228.187937161</v>
      </c>
      <c r="M10" s="13">
        <v>5438060.7570934054</v>
      </c>
      <c r="N10" s="13">
        <v>5673893.3262496488</v>
      </c>
      <c r="O10" s="13">
        <v>5909725.8954058895</v>
      </c>
      <c r="P10" s="13">
        <v>6145558.4645621274</v>
      </c>
      <c r="Q10" s="13">
        <v>6381391.0337183708</v>
      </c>
      <c r="R10" s="19"/>
    </row>
    <row r="11" spans="1:19" ht="35.1" customHeight="1" x14ac:dyDescent="0.25">
      <c r="B11" s="18"/>
      <c r="C11" s="8" t="s">
        <v>87</v>
      </c>
      <c r="D11" s="8" t="s">
        <v>5</v>
      </c>
      <c r="E11" s="9">
        <f>درآمد!H36</f>
        <v>770773545.47855651</v>
      </c>
      <c r="G11" s="141"/>
      <c r="H11" s="6">
        <v>900</v>
      </c>
      <c r="I11" s="13">
        <v>4779355.9949673545</v>
      </c>
      <c r="J11" s="13">
        <v>5023320.7216807045</v>
      </c>
      <c r="K11" s="13">
        <v>5267285.4483940601</v>
      </c>
      <c r="L11" s="13">
        <v>5511250.1751074065</v>
      </c>
      <c r="M11" s="13">
        <v>5755214.9018207621</v>
      </c>
      <c r="N11" s="13">
        <v>5999179.6285341149</v>
      </c>
      <c r="O11" s="13">
        <v>6243144.3552474706</v>
      </c>
      <c r="P11" s="13">
        <v>6487109.0819608234</v>
      </c>
      <c r="Q11" s="13">
        <v>6731073.8086741697</v>
      </c>
      <c r="R11" s="19"/>
    </row>
    <row r="12" spans="1:19" ht="35.1" customHeight="1" x14ac:dyDescent="0.25">
      <c r="B12" s="18"/>
      <c r="C12" s="8" t="s">
        <v>88</v>
      </c>
      <c r="D12" s="8" t="s">
        <v>5</v>
      </c>
      <c r="E12" s="9">
        <f>'بهای تمام شده'!H22</f>
        <v>282496.47283469141</v>
      </c>
      <c r="G12" s="141"/>
      <c r="H12" s="6">
        <v>930</v>
      </c>
      <c r="I12" s="13">
        <v>5063981.5094662607</v>
      </c>
      <c r="J12" s="13">
        <v>5316078.3937367257</v>
      </c>
      <c r="K12" s="13">
        <v>5568175.2780071897</v>
      </c>
      <c r="L12" s="13">
        <v>5820272.1622776575</v>
      </c>
      <c r="M12" s="13">
        <v>6072369.0465481225</v>
      </c>
      <c r="N12" s="13">
        <v>6324465.9308185875</v>
      </c>
      <c r="O12" s="13">
        <v>6576562.8150890553</v>
      </c>
      <c r="P12" s="13">
        <v>6828659.6993595194</v>
      </c>
      <c r="Q12" s="13">
        <v>7080756.5836299807</v>
      </c>
      <c r="R12" s="19"/>
    </row>
    <row r="13" spans="1:19" ht="35.1" customHeight="1" x14ac:dyDescent="0.25">
      <c r="B13" s="18"/>
      <c r="C13" s="8" t="s">
        <v>99</v>
      </c>
      <c r="D13" s="8" t="s">
        <v>100</v>
      </c>
      <c r="E13" s="120">
        <v>0.35</v>
      </c>
      <c r="G13" s="141"/>
      <c r="H13" s="6">
        <v>960</v>
      </c>
      <c r="I13" s="13">
        <v>5348607.0239651697</v>
      </c>
      <c r="J13" s="13">
        <v>5608836.0657927562</v>
      </c>
      <c r="K13" s="13">
        <v>5869065.1076203296</v>
      </c>
      <c r="L13" s="13">
        <v>6129294.1494478993</v>
      </c>
      <c r="M13" s="13">
        <v>6389523.191275483</v>
      </c>
      <c r="N13" s="13">
        <v>6649752.2331030564</v>
      </c>
      <c r="O13" s="13">
        <v>6909981.2749306364</v>
      </c>
      <c r="P13" s="13">
        <v>7170210.3167582061</v>
      </c>
      <c r="Q13" s="13">
        <v>7430439.3585857796</v>
      </c>
      <c r="R13" s="19"/>
    </row>
    <row r="14" spans="1:19" ht="35.1" customHeight="1" x14ac:dyDescent="0.25">
      <c r="B14" s="18"/>
      <c r="C14" s="8" t="s">
        <v>101</v>
      </c>
      <c r="D14" s="8" t="s">
        <v>5</v>
      </c>
      <c r="E14" s="9">
        <v>33670000</v>
      </c>
      <c r="G14" s="141"/>
      <c r="H14" s="6">
        <v>990</v>
      </c>
      <c r="I14" s="13">
        <v>5633232.5384640861</v>
      </c>
      <c r="J14" s="13">
        <v>5901593.7378487773</v>
      </c>
      <c r="K14" s="13">
        <v>6169954.9372334629</v>
      </c>
      <c r="L14" s="13">
        <v>6438316.1366181448</v>
      </c>
      <c r="M14" s="13">
        <v>6706677.3360028435</v>
      </c>
      <c r="N14" s="13">
        <v>6975038.5353875319</v>
      </c>
      <c r="O14" s="13">
        <v>7243399.7347722137</v>
      </c>
      <c r="P14" s="13">
        <v>7511760.9341569059</v>
      </c>
      <c r="Q14" s="13">
        <v>7780122.1335415915</v>
      </c>
      <c r="R14" s="19"/>
    </row>
    <row r="15" spans="1:19" ht="44.25" customHeight="1" x14ac:dyDescent="0.25">
      <c r="B15" s="18"/>
      <c r="C15" s="136" t="s">
        <v>47</v>
      </c>
      <c r="D15" s="137"/>
      <c r="E15" s="138"/>
      <c r="G15"/>
      <c r="H15"/>
      <c r="I15"/>
      <c r="J15"/>
      <c r="K15"/>
      <c r="L15"/>
      <c r="M15"/>
      <c r="N15"/>
      <c r="O15"/>
      <c r="P15"/>
      <c r="Q15"/>
      <c r="R15" s="122"/>
      <c r="S15"/>
    </row>
    <row r="16" spans="1:19" ht="30" customHeight="1" x14ac:dyDescent="0.25">
      <c r="A16" s="123"/>
      <c r="B16" s="127"/>
      <c r="C16" s="125" t="s">
        <v>49</v>
      </c>
      <c r="D16" s="8" t="s">
        <v>5</v>
      </c>
      <c r="E16" s="126">
        <f>'سود و زیان'!$F$21</f>
        <v>5328276.6300723962</v>
      </c>
      <c r="R16" s="123"/>
    </row>
    <row r="17" spans="2:18" ht="30" customHeight="1" x14ac:dyDescent="0.25">
      <c r="B17" s="77"/>
      <c r="C17" s="124"/>
      <c r="D17" s="124"/>
      <c r="E17" s="124"/>
      <c r="F17" s="93"/>
      <c r="J17" s="93"/>
      <c r="N17" s="93"/>
      <c r="O17" s="93"/>
      <c r="P17" s="93"/>
      <c r="R17" s="123"/>
    </row>
    <row r="18" spans="2:18" ht="30" customHeight="1" x14ac:dyDescent="0.25">
      <c r="B18" s="84"/>
      <c r="G18" s="84"/>
      <c r="H18" s="84"/>
      <c r="I18" s="84"/>
      <c r="K18" s="84"/>
      <c r="L18" s="84"/>
      <c r="M18" s="84"/>
      <c r="Q18" s="84"/>
      <c r="R18" s="84"/>
    </row>
  </sheetData>
  <mergeCells count="6">
    <mergeCell ref="C5:E5"/>
    <mergeCell ref="C15:E15"/>
    <mergeCell ref="C3:E3"/>
    <mergeCell ref="G6:G14"/>
    <mergeCell ref="I4:Q4"/>
    <mergeCell ref="G3:Q3"/>
  </mergeCells>
  <conditionalFormatting sqref="I6:Q14">
    <cfRule type="colorScale" priority="5">
      <colorScale>
        <cfvo type="formula" val="$E$14/5"/>
        <cfvo type="formula" val="$E$14/6"/>
        <cfvo type="formula" val="$E$14/7"/>
        <color rgb="FFFF4747"/>
        <color theme="7" tint="0.59999389629810485"/>
        <color rgb="FF00B050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7F7AB-4AF9-4D4A-B530-9F2966AC9052}">
  <dimension ref="B2:L71"/>
  <sheetViews>
    <sheetView showGridLines="0" rightToLeft="1" topLeftCell="A31" zoomScaleNormal="100" workbookViewId="0">
      <selection activeCell="N45" sqref="N45"/>
    </sheetView>
  </sheetViews>
  <sheetFormatPr defaultRowHeight="30" customHeight="1" x14ac:dyDescent="0.25"/>
  <cols>
    <col min="1" max="2" width="5.7109375" style="1" customWidth="1"/>
    <col min="3" max="3" width="35.7109375" style="1" customWidth="1"/>
    <col min="4" max="4" width="11" style="1" customWidth="1"/>
    <col min="5" max="8" width="15.7109375" style="1" customWidth="1"/>
    <col min="9" max="9" width="7.5703125" style="1" customWidth="1"/>
    <col min="10" max="11" width="9.140625" style="1"/>
    <col min="12" max="12" width="11.140625" style="1" bestFit="1" customWidth="1"/>
    <col min="13" max="16384" width="9.140625" style="1"/>
  </cols>
  <sheetData>
    <row r="2" spans="2:10" ht="30" customHeight="1" x14ac:dyDescent="0.25">
      <c r="B2" s="148" t="s">
        <v>0</v>
      </c>
      <c r="C2" s="149"/>
      <c r="D2" s="149"/>
      <c r="E2" s="36"/>
      <c r="F2" s="36"/>
      <c r="G2" s="36"/>
      <c r="H2" s="36"/>
      <c r="I2" s="36"/>
    </row>
    <row r="3" spans="2:10" ht="9.9499999999999993" customHeight="1" x14ac:dyDescent="0.25">
      <c r="B3" s="28"/>
      <c r="J3" s="28"/>
    </row>
    <row r="4" spans="2:10" ht="30" customHeight="1" x14ac:dyDescent="0.25">
      <c r="B4" s="28"/>
      <c r="C4" s="145" t="s">
        <v>6</v>
      </c>
      <c r="D4" s="146"/>
      <c r="E4" s="146"/>
      <c r="F4" s="146"/>
      <c r="G4" s="146"/>
      <c r="H4" s="147"/>
      <c r="I4" s="72"/>
    </row>
    <row r="5" spans="2:10" ht="30" customHeight="1" x14ac:dyDescent="0.25">
      <c r="B5" s="28"/>
      <c r="C5" s="26" t="s">
        <v>1</v>
      </c>
      <c r="D5" s="26" t="s">
        <v>2</v>
      </c>
      <c r="E5" s="27">
        <v>1401</v>
      </c>
      <c r="F5" s="27">
        <v>1402</v>
      </c>
      <c r="G5" s="27">
        <v>1403</v>
      </c>
      <c r="H5" s="27">
        <v>1404</v>
      </c>
      <c r="I5" s="29"/>
    </row>
    <row r="6" spans="2:10" ht="30" customHeight="1" x14ac:dyDescent="0.25">
      <c r="B6" s="28"/>
      <c r="C6" s="38" t="s">
        <v>81</v>
      </c>
      <c r="D6" s="39" t="s">
        <v>3</v>
      </c>
      <c r="E6" s="39">
        <v>28819</v>
      </c>
      <c r="F6" s="39">
        <v>37128</v>
      </c>
      <c r="G6" s="40">
        <v>39456</v>
      </c>
      <c r="H6" s="40">
        <f>H9</f>
        <v>39000</v>
      </c>
      <c r="I6" s="71"/>
    </row>
    <row r="7" spans="2:10" ht="30" customHeight="1" x14ac:dyDescent="0.25">
      <c r="B7" s="28"/>
      <c r="C7" s="145" t="s">
        <v>7</v>
      </c>
      <c r="D7" s="146"/>
      <c r="E7" s="146"/>
      <c r="F7" s="146"/>
      <c r="G7" s="146"/>
      <c r="H7" s="147"/>
      <c r="J7" s="28"/>
    </row>
    <row r="8" spans="2:10" ht="30" customHeight="1" x14ac:dyDescent="0.25">
      <c r="B8" s="28"/>
      <c r="C8" s="38" t="s">
        <v>81</v>
      </c>
      <c r="D8" s="39" t="s">
        <v>3</v>
      </c>
      <c r="E8" s="39">
        <v>0</v>
      </c>
      <c r="F8" s="39">
        <v>0</v>
      </c>
      <c r="G8" s="40">
        <v>0</v>
      </c>
      <c r="H8" s="40">
        <v>0</v>
      </c>
      <c r="J8" s="28"/>
    </row>
    <row r="9" spans="2:10" ht="30" customHeight="1" x14ac:dyDescent="0.25">
      <c r="B9" s="28"/>
      <c r="C9" s="20" t="s">
        <v>4</v>
      </c>
      <c r="D9" s="21"/>
      <c r="E9" s="21">
        <f>SUBTOTAL(109,درآمد!$E$6:$E$6)+SUBTOTAL(109,درآمد!$E$8:$E$8)</f>
        <v>28819</v>
      </c>
      <c r="F9" s="21">
        <f>SUBTOTAL(109,درآمد!$F$6:$F$6)+SUBTOTAL(109,درآمد!$F$8:$F$8)</f>
        <v>37128</v>
      </c>
      <c r="G9" s="22">
        <f>SUBTOTAL(109,درآمد!$G$6:$G$6)+SUBTOTAL(109,درآمد!$G$8:$G$8)</f>
        <v>39456</v>
      </c>
      <c r="H9" s="22">
        <f>مفروضات!E7</f>
        <v>39000</v>
      </c>
      <c r="I9" s="71"/>
    </row>
    <row r="10" spans="2:10" ht="30" customHeight="1" x14ac:dyDescent="0.25">
      <c r="B10" s="30"/>
      <c r="C10" s="31"/>
      <c r="D10" s="31"/>
      <c r="E10" s="31"/>
      <c r="F10" s="31"/>
      <c r="G10" s="31"/>
      <c r="H10" s="31"/>
      <c r="I10" s="32"/>
    </row>
    <row r="11" spans="2:10" ht="30" customHeight="1" x14ac:dyDescent="0.25">
      <c r="I11" s="70"/>
    </row>
    <row r="12" spans="2:10" ht="30" customHeight="1" x14ac:dyDescent="0.25">
      <c r="B12" s="148" t="s">
        <v>52</v>
      </c>
      <c r="C12" s="149"/>
      <c r="D12" s="149"/>
      <c r="E12" s="36"/>
      <c r="F12" s="36"/>
      <c r="G12" s="36"/>
      <c r="H12" s="36"/>
      <c r="I12" s="36"/>
    </row>
    <row r="13" spans="2:10" ht="9.9499999999999993" customHeight="1" x14ac:dyDescent="0.25">
      <c r="B13" s="28"/>
      <c r="I13" s="29"/>
    </row>
    <row r="14" spans="2:10" ht="30" customHeight="1" x14ac:dyDescent="0.25">
      <c r="B14" s="28"/>
      <c r="C14" s="145" t="s">
        <v>12</v>
      </c>
      <c r="D14" s="146"/>
      <c r="E14" s="146"/>
      <c r="F14" s="146"/>
      <c r="G14" s="146"/>
      <c r="H14" s="147"/>
      <c r="I14" s="72"/>
    </row>
    <row r="15" spans="2:10" ht="30" customHeight="1" x14ac:dyDescent="0.25">
      <c r="B15" s="28"/>
      <c r="C15" s="26" t="s">
        <v>1</v>
      </c>
      <c r="D15" s="26" t="s">
        <v>2</v>
      </c>
      <c r="E15" s="27">
        <v>1401</v>
      </c>
      <c r="F15" s="27">
        <v>1402</v>
      </c>
      <c r="G15" s="27">
        <v>1403</v>
      </c>
      <c r="H15" s="27">
        <v>1404</v>
      </c>
      <c r="J15" s="28"/>
    </row>
    <row r="16" spans="2:10" ht="30" customHeight="1" x14ac:dyDescent="0.25">
      <c r="B16" s="28"/>
      <c r="C16" s="38" t="s">
        <v>81</v>
      </c>
      <c r="D16" s="39" t="s">
        <v>3</v>
      </c>
      <c r="E16" s="39">
        <v>27096</v>
      </c>
      <c r="F16" s="39">
        <v>31872</v>
      </c>
      <c r="G16" s="40">
        <v>33394</v>
      </c>
      <c r="H16" s="40">
        <f>H19*H26</f>
        <v>33249.917026219715</v>
      </c>
      <c r="I16" s="71"/>
    </row>
    <row r="17" spans="2:10" ht="30" customHeight="1" x14ac:dyDescent="0.25">
      <c r="B17" s="28"/>
      <c r="C17" s="145" t="s">
        <v>13</v>
      </c>
      <c r="D17" s="146"/>
      <c r="E17" s="146"/>
      <c r="F17" s="146"/>
      <c r="G17" s="146"/>
      <c r="H17" s="147"/>
      <c r="I17" s="72"/>
    </row>
    <row r="18" spans="2:10" ht="30" customHeight="1" x14ac:dyDescent="0.25">
      <c r="B18" s="28"/>
      <c r="C18" s="47" t="s">
        <v>81</v>
      </c>
      <c r="D18" s="48" t="s">
        <v>3</v>
      </c>
      <c r="E18" s="48">
        <v>1998</v>
      </c>
      <c r="F18" s="48">
        <v>4928</v>
      </c>
      <c r="G18" s="49">
        <v>5775</v>
      </c>
      <c r="H18" s="49">
        <f>H19*H28</f>
        <v>5750.0829737802851</v>
      </c>
      <c r="I18" s="71"/>
    </row>
    <row r="19" spans="2:10" ht="30" customHeight="1" x14ac:dyDescent="0.25">
      <c r="B19" s="28"/>
      <c r="C19" s="20" t="s">
        <v>4</v>
      </c>
      <c r="D19" s="21"/>
      <c r="E19" s="21">
        <f>SUBTOTAL(109,درآمد!$E$16:$E$16)+SUBTOTAL(109,درآمد!$E$18:$E$18)</f>
        <v>29094</v>
      </c>
      <c r="F19" s="21">
        <f>SUBTOTAL(109,درآمد!$F$16:$F$16)+SUBTOTAL(109,درآمد!$F$18:$F$18)</f>
        <v>36800</v>
      </c>
      <c r="G19" s="22">
        <f>SUM(G16,G18)</f>
        <v>39169</v>
      </c>
      <c r="H19" s="22">
        <f>H9</f>
        <v>39000</v>
      </c>
      <c r="I19" s="71"/>
    </row>
    <row r="20" spans="2:10" ht="30" customHeight="1" x14ac:dyDescent="0.25">
      <c r="B20" s="30"/>
      <c r="C20" s="31"/>
      <c r="D20" s="31"/>
      <c r="E20" s="31"/>
      <c r="F20" s="31"/>
      <c r="G20" s="31"/>
      <c r="H20" s="31"/>
      <c r="I20" s="32"/>
    </row>
    <row r="22" spans="2:10" ht="30" customHeight="1" x14ac:dyDescent="0.25">
      <c r="B22" s="148" t="s">
        <v>53</v>
      </c>
      <c r="C22" s="149"/>
      <c r="D22" s="149"/>
      <c r="E22" s="36"/>
      <c r="F22" s="36"/>
      <c r="G22" s="36"/>
      <c r="H22" s="36"/>
      <c r="I22" s="36"/>
    </row>
    <row r="23" spans="2:10" ht="9.9499999999999993" customHeight="1" x14ac:dyDescent="0.25">
      <c r="B23" s="28"/>
      <c r="J23" s="28"/>
    </row>
    <row r="24" spans="2:10" ht="30" customHeight="1" x14ac:dyDescent="0.25">
      <c r="B24" s="28"/>
      <c r="C24" s="145" t="s">
        <v>8</v>
      </c>
      <c r="D24" s="146"/>
      <c r="E24" s="146"/>
      <c r="F24" s="146"/>
      <c r="G24" s="146"/>
      <c r="H24" s="147"/>
      <c r="J24" s="28"/>
    </row>
    <row r="25" spans="2:10" ht="30" customHeight="1" x14ac:dyDescent="0.25">
      <c r="B25" s="28"/>
      <c r="C25" s="26" t="s">
        <v>1</v>
      </c>
      <c r="D25" s="26" t="s">
        <v>2</v>
      </c>
      <c r="E25" s="27">
        <v>1401</v>
      </c>
      <c r="F25" s="27">
        <v>1402</v>
      </c>
      <c r="G25" s="27">
        <v>1403</v>
      </c>
      <c r="H25" s="27">
        <v>1404</v>
      </c>
      <c r="I25" s="29"/>
    </row>
    <row r="26" spans="2:10" ht="30" customHeight="1" x14ac:dyDescent="0.25">
      <c r="B26" s="28"/>
      <c r="C26" s="38" t="s">
        <v>82</v>
      </c>
      <c r="D26" s="39" t="s">
        <v>3</v>
      </c>
      <c r="E26" s="46">
        <f>E16/E19</f>
        <v>0.93132604660754792</v>
      </c>
      <c r="F26" s="46">
        <f>F16/F19</f>
        <v>0.86608695652173917</v>
      </c>
      <c r="G26" s="46">
        <f>G16/G19</f>
        <v>0.85256197503127473</v>
      </c>
      <c r="H26" s="46">
        <f>G26</f>
        <v>0.85256197503127473</v>
      </c>
      <c r="J26" s="28"/>
    </row>
    <row r="27" spans="2:10" ht="30" customHeight="1" x14ac:dyDescent="0.25">
      <c r="B27" s="28"/>
      <c r="C27" s="145" t="s">
        <v>9</v>
      </c>
      <c r="D27" s="146"/>
      <c r="E27" s="146"/>
      <c r="F27" s="146"/>
      <c r="G27" s="146"/>
      <c r="H27" s="147"/>
      <c r="I27" s="72"/>
    </row>
    <row r="28" spans="2:10" ht="30" customHeight="1" x14ac:dyDescent="0.25">
      <c r="B28" s="28"/>
      <c r="C28" s="38" t="s">
        <v>82</v>
      </c>
      <c r="D28" s="39" t="s">
        <v>3</v>
      </c>
      <c r="E28" s="46">
        <f>E18/E19</f>
        <v>6.8673953392452053E-2</v>
      </c>
      <c r="F28" s="46">
        <f>F18/F19</f>
        <v>0.13391304347826086</v>
      </c>
      <c r="G28" s="46">
        <f>G18/G19</f>
        <v>0.14743802496872527</v>
      </c>
      <c r="H28" s="46">
        <f>G28</f>
        <v>0.14743802496872527</v>
      </c>
      <c r="I28" s="71"/>
    </row>
    <row r="29" spans="2:10" ht="30" customHeight="1" x14ac:dyDescent="0.25">
      <c r="B29" s="28"/>
      <c r="C29" s="20" t="s">
        <v>4</v>
      </c>
      <c r="D29" s="50"/>
      <c r="E29" s="50">
        <f>SUBTOTAL(109,درآمد!$E$26:$E$26)+SUBTOTAL(109,درآمد!$E$28:$E$28)</f>
        <v>1</v>
      </c>
      <c r="F29" s="50">
        <f>SUBTOTAL(109,درآمد!$F$26:$F$26)+SUBTOTAL(109,درآمد!$F$28:$F$28)</f>
        <v>1</v>
      </c>
      <c r="G29" s="51">
        <f>SUBTOTAL(109,درآمد!$G$26:$G$26)+SUBTOTAL(109,درآمد!$G$28)</f>
        <v>1</v>
      </c>
      <c r="H29" s="51">
        <f>SUBTOTAL(109,درآمد!$H$26)+SUBTOTAL(109,درآمد!$H$28)</f>
        <v>1</v>
      </c>
      <c r="I29" s="71"/>
    </row>
    <row r="30" spans="2:10" ht="30" customHeight="1" x14ac:dyDescent="0.25">
      <c r="B30" s="30"/>
      <c r="C30" s="31"/>
      <c r="D30" s="31"/>
      <c r="E30" s="31"/>
      <c r="F30" s="31"/>
      <c r="G30" s="31"/>
      <c r="H30" s="31"/>
      <c r="I30" s="32"/>
    </row>
    <row r="31" spans="2:10" ht="30" customHeight="1" x14ac:dyDescent="0.25">
      <c r="I31" s="70"/>
    </row>
    <row r="32" spans="2:10" ht="30" customHeight="1" x14ac:dyDescent="0.25">
      <c r="B32" s="148" t="s">
        <v>54</v>
      </c>
      <c r="C32" s="149"/>
      <c r="D32" s="149"/>
      <c r="E32" s="36"/>
      <c r="F32" s="36"/>
      <c r="G32" s="36"/>
      <c r="H32" s="36"/>
      <c r="I32" s="36"/>
    </row>
    <row r="33" spans="2:11" ht="30" customHeight="1" x14ac:dyDescent="0.25">
      <c r="B33" s="28"/>
      <c r="I33" s="29"/>
    </row>
    <row r="34" spans="2:11" ht="30" customHeight="1" x14ac:dyDescent="0.25">
      <c r="B34" s="28"/>
      <c r="C34" s="145" t="s">
        <v>10</v>
      </c>
      <c r="D34" s="146"/>
      <c r="E34" s="146"/>
      <c r="F34" s="146"/>
      <c r="G34" s="146"/>
      <c r="H34" s="147"/>
      <c r="J34" s="28"/>
    </row>
    <row r="35" spans="2:11" ht="30" customHeight="1" x14ac:dyDescent="0.25">
      <c r="B35" s="28"/>
      <c r="C35" s="26" t="s">
        <v>1</v>
      </c>
      <c r="D35" s="26" t="s">
        <v>2</v>
      </c>
      <c r="E35" s="27">
        <v>1401</v>
      </c>
      <c r="F35" s="27">
        <v>1402</v>
      </c>
      <c r="G35" s="27">
        <v>1403</v>
      </c>
      <c r="H35" s="27">
        <v>1404</v>
      </c>
      <c r="I35" s="29"/>
    </row>
    <row r="36" spans="2:11" ht="30" customHeight="1" x14ac:dyDescent="0.25">
      <c r="B36" s="28"/>
      <c r="C36" s="38" t="s">
        <v>82</v>
      </c>
      <c r="D36" s="65" t="s">
        <v>5</v>
      </c>
      <c r="E36" s="39">
        <v>383291888</v>
      </c>
      <c r="F36" s="39">
        <v>479519547</v>
      </c>
      <c r="G36" s="40">
        <v>608433042</v>
      </c>
      <c r="H36" s="40">
        <f>H38*H59</f>
        <v>770773545.47855651</v>
      </c>
      <c r="J36" s="28"/>
    </row>
    <row r="37" spans="2:11" ht="30" customHeight="1" x14ac:dyDescent="0.25">
      <c r="B37" s="28"/>
      <c r="C37" s="145" t="s">
        <v>11</v>
      </c>
      <c r="D37" s="146"/>
      <c r="E37" s="146"/>
      <c r="F37" s="146"/>
      <c r="G37" s="146"/>
      <c r="H37" s="147"/>
      <c r="J37" s="28"/>
    </row>
    <row r="38" spans="2:11" ht="30" customHeight="1" x14ac:dyDescent="0.25">
      <c r="B38" s="28"/>
      <c r="C38" s="64" t="s">
        <v>82</v>
      </c>
      <c r="D38" s="65" t="s">
        <v>5</v>
      </c>
      <c r="E38" s="65">
        <v>323262262</v>
      </c>
      <c r="F38" s="65">
        <v>448648945</v>
      </c>
      <c r="G38" s="66">
        <v>529279134</v>
      </c>
      <c r="H38" s="66">
        <f>H40*H41</f>
        <v>670500000</v>
      </c>
      <c r="J38" s="28"/>
    </row>
    <row r="39" spans="2:11" ht="30" customHeight="1" x14ac:dyDescent="0.25">
      <c r="B39" s="28"/>
      <c r="C39" s="146" t="s">
        <v>89</v>
      </c>
      <c r="D39" s="146"/>
      <c r="E39" s="146"/>
      <c r="F39" s="146"/>
      <c r="G39" s="146"/>
      <c r="H39" s="146"/>
      <c r="J39" s="28"/>
    </row>
    <row r="40" spans="2:11" ht="30" customHeight="1" x14ac:dyDescent="0.25">
      <c r="B40" s="28"/>
      <c r="C40" s="64" t="s">
        <v>89</v>
      </c>
      <c r="D40" s="65" t="s">
        <v>5</v>
      </c>
      <c r="E40" s="65">
        <v>366000</v>
      </c>
      <c r="F40" s="65">
        <v>430812</v>
      </c>
      <c r="G40" s="66">
        <v>700227</v>
      </c>
      <c r="H40" s="66">
        <f>مفروضات!E8</f>
        <v>750000</v>
      </c>
      <c r="J40" s="28"/>
      <c r="K40" s="134"/>
    </row>
    <row r="41" spans="2:11" ht="30" customHeight="1" x14ac:dyDescent="0.25">
      <c r="B41" s="28"/>
      <c r="C41" s="67" t="s">
        <v>90</v>
      </c>
      <c r="D41" s="68" t="s">
        <v>5</v>
      </c>
      <c r="E41" s="68">
        <f>E38/E40</f>
        <v>883.23022404371579</v>
      </c>
      <c r="F41" s="68">
        <f>F38/F40</f>
        <v>1041.4030830153292</v>
      </c>
      <c r="G41" s="69">
        <f>G38/G40</f>
        <v>755.86793139938902</v>
      </c>
      <c r="H41" s="69">
        <f>مفروضات!E9</f>
        <v>894</v>
      </c>
      <c r="J41" s="28" t="s">
        <v>103</v>
      </c>
    </row>
    <row r="42" spans="2:11" ht="30" customHeight="1" x14ac:dyDescent="0.25">
      <c r="B42" s="30"/>
      <c r="C42" s="31"/>
      <c r="D42" s="31"/>
      <c r="E42" s="31"/>
      <c r="F42" s="31"/>
      <c r="G42" s="31"/>
      <c r="H42" s="31"/>
      <c r="J42" s="28"/>
    </row>
    <row r="43" spans="2:11" ht="30" customHeight="1" x14ac:dyDescent="0.25">
      <c r="I43" s="94"/>
    </row>
    <row r="44" spans="2:11" ht="30" customHeight="1" x14ac:dyDescent="0.25">
      <c r="B44" s="148" t="s">
        <v>96</v>
      </c>
      <c r="C44" s="149"/>
      <c r="D44" s="149"/>
      <c r="E44" s="36"/>
      <c r="F44" s="36"/>
      <c r="G44" s="36"/>
      <c r="H44" s="36"/>
      <c r="I44" s="36"/>
    </row>
    <row r="45" spans="2:11" ht="30" customHeight="1" x14ac:dyDescent="0.25">
      <c r="B45" s="28"/>
      <c r="I45" s="29"/>
    </row>
    <row r="46" spans="2:11" ht="30" customHeight="1" x14ac:dyDescent="0.25">
      <c r="B46" s="28"/>
      <c r="C46" s="145" t="s">
        <v>97</v>
      </c>
      <c r="D46" s="146"/>
      <c r="E46" s="146"/>
      <c r="F46" s="146"/>
      <c r="G46" s="146"/>
      <c r="H46" s="147"/>
      <c r="J46" s="117"/>
    </row>
    <row r="47" spans="2:11" ht="30" customHeight="1" x14ac:dyDescent="0.25">
      <c r="B47" s="28"/>
      <c r="C47" s="26" t="s">
        <v>1</v>
      </c>
      <c r="D47" s="26" t="s">
        <v>2</v>
      </c>
      <c r="E47" s="27">
        <v>1401</v>
      </c>
      <c r="F47" s="27">
        <v>1402</v>
      </c>
      <c r="G47" s="27">
        <v>1403</v>
      </c>
      <c r="H47" s="27">
        <v>1404</v>
      </c>
      <c r="I47" s="29"/>
    </row>
    <row r="48" spans="2:11" ht="30" customHeight="1" x14ac:dyDescent="0.25">
      <c r="B48" s="28"/>
      <c r="C48" s="38" t="s">
        <v>82</v>
      </c>
      <c r="D48" s="39" t="s">
        <v>5</v>
      </c>
      <c r="E48" s="39">
        <v>13513367</v>
      </c>
      <c r="F48" s="39">
        <v>15283247</v>
      </c>
      <c r="G48" s="40">
        <v>20318013</v>
      </c>
      <c r="H48" s="40">
        <f>H16*H36/1000000</f>
        <v>25628156.433167193</v>
      </c>
      <c r="I48" s="118"/>
    </row>
    <row r="49" spans="2:12" ht="30" customHeight="1" x14ac:dyDescent="0.25">
      <c r="B49" s="28"/>
      <c r="C49" s="145" t="s">
        <v>98</v>
      </c>
      <c r="D49" s="146"/>
      <c r="E49" s="146"/>
      <c r="F49" s="146"/>
      <c r="G49" s="146"/>
      <c r="H49" s="147"/>
      <c r="J49" s="117"/>
    </row>
    <row r="50" spans="2:12" ht="30" customHeight="1" x14ac:dyDescent="0.25">
      <c r="B50" s="28"/>
      <c r="C50" s="64" t="s">
        <v>82</v>
      </c>
      <c r="D50" s="65" t="s">
        <v>5</v>
      </c>
      <c r="E50" s="65">
        <v>3079732</v>
      </c>
      <c r="F50" s="65">
        <v>2210942</v>
      </c>
      <c r="G50" s="66">
        <v>3056587</v>
      </c>
      <c r="H50" s="66">
        <f>H18*H38/1000000</f>
        <v>3855430.633919681</v>
      </c>
      <c r="I50" s="118"/>
    </row>
    <row r="51" spans="2:12" ht="30" customHeight="1" x14ac:dyDescent="0.25">
      <c r="B51" s="28"/>
      <c r="C51" s="50" t="s">
        <v>20</v>
      </c>
      <c r="D51" s="50" t="s">
        <v>5</v>
      </c>
      <c r="E51" s="119">
        <f t="shared" ref="E51:F51" si="0">SUM(E48,E50)</f>
        <v>16593099</v>
      </c>
      <c r="F51" s="119">
        <f t="shared" si="0"/>
        <v>17494189</v>
      </c>
      <c r="G51" s="119">
        <f>SUM(G48,G50)</f>
        <v>23374600</v>
      </c>
      <c r="H51" s="119">
        <f>SUM(H48,H50)</f>
        <v>29483587.067086875</v>
      </c>
      <c r="I51" s="118"/>
      <c r="K51" s="134"/>
      <c r="L51" s="134"/>
    </row>
    <row r="52" spans="2:12" ht="30" customHeight="1" x14ac:dyDescent="0.25">
      <c r="B52" s="30"/>
      <c r="C52" s="31"/>
      <c r="D52" s="31"/>
      <c r="E52" s="31"/>
      <c r="F52" s="31"/>
      <c r="G52" s="31"/>
      <c r="H52" s="31"/>
      <c r="I52" s="116"/>
      <c r="J52" s="117"/>
      <c r="L52" s="134"/>
    </row>
    <row r="54" spans="2:12" ht="30" customHeight="1" x14ac:dyDescent="0.25">
      <c r="I54" s="31"/>
    </row>
    <row r="55" spans="2:12" ht="30.75" customHeight="1" x14ac:dyDescent="0.25">
      <c r="B55" s="148" t="s">
        <v>83</v>
      </c>
      <c r="C55" s="149"/>
      <c r="D55" s="149"/>
      <c r="E55" s="36"/>
      <c r="F55" s="36"/>
      <c r="G55" s="36"/>
      <c r="H55" s="36"/>
      <c r="I55" s="36"/>
    </row>
    <row r="56" spans="2:12" ht="30" customHeight="1" x14ac:dyDescent="0.25">
      <c r="B56" s="28"/>
      <c r="I56" s="29"/>
    </row>
    <row r="57" spans="2:12" ht="30" customHeight="1" x14ac:dyDescent="0.25">
      <c r="B57" s="28"/>
      <c r="C57" s="145" t="s">
        <v>10</v>
      </c>
      <c r="D57" s="146"/>
      <c r="E57" s="146"/>
      <c r="F57" s="146"/>
      <c r="G57" s="146"/>
      <c r="H57" s="147"/>
      <c r="I57" s="29"/>
    </row>
    <row r="58" spans="2:12" ht="30" customHeight="1" x14ac:dyDescent="0.25">
      <c r="B58" s="28"/>
      <c r="C58" s="26" t="s">
        <v>1</v>
      </c>
      <c r="D58" s="26" t="s">
        <v>2</v>
      </c>
      <c r="E58" s="27">
        <v>1401</v>
      </c>
      <c r="F58" s="27">
        <v>1402</v>
      </c>
      <c r="G58" s="27">
        <v>1403</v>
      </c>
      <c r="H58" s="27">
        <v>1404</v>
      </c>
      <c r="I58" s="29"/>
    </row>
    <row r="59" spans="2:12" ht="30" customHeight="1" x14ac:dyDescent="0.25">
      <c r="B59" s="28"/>
      <c r="C59" s="38" t="s">
        <v>82</v>
      </c>
      <c r="D59" s="39" t="s">
        <v>3</v>
      </c>
      <c r="E59" s="73">
        <f>E36/E38</f>
        <v>1.1856994553852376</v>
      </c>
      <c r="F59" s="73">
        <f>F36/F38</f>
        <v>1.0688079228627185</v>
      </c>
      <c r="G59" s="73">
        <f>G36/G38</f>
        <v>1.1495504033982946</v>
      </c>
      <c r="H59" s="74">
        <f>G59</f>
        <v>1.1495504033982946</v>
      </c>
      <c r="I59" s="29"/>
    </row>
    <row r="60" spans="2:12" ht="30" customHeight="1" x14ac:dyDescent="0.25">
      <c r="B60" s="30"/>
      <c r="C60" s="31"/>
      <c r="D60" s="31"/>
      <c r="E60" s="31"/>
      <c r="F60" s="31"/>
      <c r="G60" s="31"/>
      <c r="H60" s="31"/>
      <c r="I60" s="32"/>
    </row>
    <row r="71" ht="9.9499999999999993" customHeight="1" x14ac:dyDescent="0.25"/>
  </sheetData>
  <mergeCells count="18">
    <mergeCell ref="C27:H27"/>
    <mergeCell ref="B2:D2"/>
    <mergeCell ref="B22:D22"/>
    <mergeCell ref="B12:D12"/>
    <mergeCell ref="C24:H24"/>
    <mergeCell ref="C17:H17"/>
    <mergeCell ref="C14:H14"/>
    <mergeCell ref="C4:H4"/>
    <mergeCell ref="C7:H7"/>
    <mergeCell ref="C37:H37"/>
    <mergeCell ref="C57:H57"/>
    <mergeCell ref="C39:H39"/>
    <mergeCell ref="B32:D32"/>
    <mergeCell ref="B55:D55"/>
    <mergeCell ref="C34:H34"/>
    <mergeCell ref="B44:D44"/>
    <mergeCell ref="C46:H46"/>
    <mergeCell ref="C49:H49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1851B-6FB9-4DF7-8483-FD5760127BD5}">
  <dimension ref="B2:N91"/>
  <sheetViews>
    <sheetView showGridLines="0" rightToLeft="1" workbookViewId="0">
      <selection activeCell="L54" sqref="L54"/>
    </sheetView>
  </sheetViews>
  <sheetFormatPr defaultRowHeight="30" customHeight="1" x14ac:dyDescent="0.25"/>
  <cols>
    <col min="1" max="2" width="5.7109375" style="1" customWidth="1"/>
    <col min="3" max="3" width="25.7109375" style="1" customWidth="1"/>
    <col min="4" max="4" width="11" style="1" customWidth="1"/>
    <col min="5" max="8" width="15.7109375" style="1" customWidth="1"/>
    <col min="9" max="9" width="5.7109375" style="1" customWidth="1"/>
    <col min="10" max="16384" width="9.140625" style="1"/>
  </cols>
  <sheetData>
    <row r="2" spans="2:9" ht="30" customHeight="1" x14ac:dyDescent="0.25">
      <c r="B2" s="148" t="s">
        <v>16</v>
      </c>
      <c r="C2" s="149"/>
      <c r="D2" s="149"/>
      <c r="E2" s="36"/>
      <c r="F2" s="36"/>
      <c r="G2" s="36"/>
      <c r="H2" s="36"/>
      <c r="I2" s="37"/>
    </row>
    <row r="3" spans="2:9" ht="9.9499999999999993" customHeight="1" x14ac:dyDescent="0.25">
      <c r="B3" s="28"/>
      <c r="I3" s="29"/>
    </row>
    <row r="4" spans="2:9" ht="30" customHeight="1" x14ac:dyDescent="0.25">
      <c r="B4" s="28"/>
      <c r="C4" s="26" t="s">
        <v>1</v>
      </c>
      <c r="D4" s="26" t="s">
        <v>2</v>
      </c>
      <c r="E4" s="27">
        <v>1401</v>
      </c>
      <c r="F4" s="27">
        <v>1402</v>
      </c>
      <c r="G4" s="27">
        <v>1403</v>
      </c>
      <c r="H4" s="27">
        <v>1404</v>
      </c>
      <c r="I4" s="29"/>
    </row>
    <row r="5" spans="2:9" ht="30" customHeight="1" x14ac:dyDescent="0.25">
      <c r="B5" s="75"/>
      <c r="C5" s="78" t="s">
        <v>59</v>
      </c>
      <c r="D5" s="39" t="s">
        <v>3</v>
      </c>
      <c r="E5" s="39">
        <f>58491863/1000</f>
        <v>58491.862999999998</v>
      </c>
      <c r="F5" s="39">
        <f>65550662/1000</f>
        <v>65550.661999999997</v>
      </c>
      <c r="G5" s="39">
        <f>67201379/1000</f>
        <v>67201.379000000001</v>
      </c>
      <c r="H5" s="40">
        <f>$H$9*H15</f>
        <v>66424.720726885556</v>
      </c>
      <c r="I5" s="29"/>
    </row>
    <row r="6" spans="2:9" ht="30" customHeight="1" x14ac:dyDescent="0.25">
      <c r="B6" s="75"/>
      <c r="C6" s="76" t="s">
        <v>60</v>
      </c>
      <c r="D6" s="76" t="s">
        <v>61</v>
      </c>
      <c r="E6" s="42">
        <v>716958</v>
      </c>
      <c r="F6" s="42">
        <v>1007649</v>
      </c>
      <c r="G6" s="42">
        <v>1046584</v>
      </c>
      <c r="H6" s="86">
        <f>$H$9*H16</f>
        <v>1034488.4428223826</v>
      </c>
      <c r="I6" s="29"/>
    </row>
    <row r="7" spans="2:9" ht="30" customHeight="1" x14ac:dyDescent="0.25">
      <c r="B7" s="28"/>
      <c r="C7" s="79" t="s">
        <v>20</v>
      </c>
      <c r="D7" s="44"/>
      <c r="E7" s="44">
        <f>SUBTOTAL(109,'بهای تمام شده'!$E$5:$E$6)</f>
        <v>775449.86300000001</v>
      </c>
      <c r="F7" s="83">
        <f>SUBTOTAL(109,'بهای تمام شده'!$F$5:$F$6)</f>
        <v>1073199.662</v>
      </c>
      <c r="G7" s="44">
        <f>SUBTOTAL(109,'بهای تمام شده'!$G$5:$G$6)</f>
        <v>1113785.379</v>
      </c>
      <c r="H7" s="44">
        <f>SUM(H5:H6)</f>
        <v>1100913.1635492682</v>
      </c>
      <c r="I7" s="29"/>
    </row>
    <row r="8" spans="2:9" ht="5.0999999999999996" customHeight="1" x14ac:dyDescent="0.25">
      <c r="B8" s="28"/>
      <c r="F8" s="84"/>
      <c r="H8" s="85"/>
      <c r="I8" s="29"/>
    </row>
    <row r="9" spans="2:9" ht="30" customHeight="1" x14ac:dyDescent="0.25">
      <c r="B9" s="28"/>
      <c r="C9" s="80" t="s">
        <v>57</v>
      </c>
      <c r="D9" s="82" t="s">
        <v>3</v>
      </c>
      <c r="E9" s="80">
        <f>درآمد!$E$9</f>
        <v>28819</v>
      </c>
      <c r="F9" s="80">
        <f>درآمد!$F$9</f>
        <v>37128</v>
      </c>
      <c r="G9" s="82">
        <f>درآمد!$G$9</f>
        <v>39456</v>
      </c>
      <c r="H9" s="82">
        <f>درآمد!$H$9</f>
        <v>39000</v>
      </c>
      <c r="I9" s="29"/>
    </row>
    <row r="10" spans="2:9" ht="30" customHeight="1" x14ac:dyDescent="0.25">
      <c r="B10" s="30"/>
      <c r="C10" s="81"/>
      <c r="D10" s="81"/>
      <c r="E10" s="81"/>
      <c r="F10" s="81"/>
      <c r="G10" s="31"/>
      <c r="H10" s="31"/>
      <c r="I10" s="32"/>
    </row>
    <row r="12" spans="2:9" ht="30" customHeight="1" x14ac:dyDescent="0.25">
      <c r="B12" s="148" t="s">
        <v>17</v>
      </c>
      <c r="C12" s="149"/>
      <c r="D12" s="149"/>
      <c r="E12" s="36"/>
      <c r="F12" s="36"/>
      <c r="G12" s="36"/>
      <c r="H12" s="36"/>
      <c r="I12" s="37"/>
    </row>
    <row r="13" spans="2:9" ht="9.9499999999999993" customHeight="1" x14ac:dyDescent="0.25">
      <c r="B13" s="28"/>
      <c r="I13" s="29"/>
    </row>
    <row r="14" spans="2:9" ht="30" customHeight="1" x14ac:dyDescent="0.25">
      <c r="B14" s="28"/>
      <c r="C14" s="26" t="s">
        <v>1</v>
      </c>
      <c r="D14" s="26" t="s">
        <v>2</v>
      </c>
      <c r="E14" s="27">
        <v>1401</v>
      </c>
      <c r="F14" s="27">
        <v>1402</v>
      </c>
      <c r="G14" s="27">
        <v>1403</v>
      </c>
      <c r="H14" s="27">
        <v>1404</v>
      </c>
      <c r="I14" s="29"/>
    </row>
    <row r="15" spans="2:9" ht="30" customHeight="1" x14ac:dyDescent="0.25">
      <c r="B15" s="28"/>
      <c r="C15" s="38" t="s">
        <v>59</v>
      </c>
      <c r="D15" s="39" t="s">
        <v>3</v>
      </c>
      <c r="E15" s="45">
        <f>E5/E9</f>
        <v>2.0296284742704467</v>
      </c>
      <c r="F15" s="45">
        <f t="shared" ref="F15" si="0">F5/F9</f>
        <v>1.7655317280758456</v>
      </c>
      <c r="G15" s="45">
        <f>G5/G9</f>
        <v>1.7031979673560422</v>
      </c>
      <c r="H15" s="97">
        <v>1.70319796735604</v>
      </c>
      <c r="I15" s="29"/>
    </row>
    <row r="16" spans="2:9" ht="30" customHeight="1" x14ac:dyDescent="0.25">
      <c r="B16" s="28"/>
      <c r="C16" s="88" t="s">
        <v>60</v>
      </c>
      <c r="D16" s="85" t="s">
        <v>61</v>
      </c>
      <c r="E16" s="95">
        <f>E6/E9</f>
        <v>24.877962455324614</v>
      </c>
      <c r="F16" s="95">
        <f t="shared" ref="F16" si="1">F6/F9</f>
        <v>27.139867485455721</v>
      </c>
      <c r="G16" s="95">
        <f>G6/G9</f>
        <v>26.525344687753446</v>
      </c>
      <c r="H16" s="96">
        <v>26.5253446877534</v>
      </c>
      <c r="I16" s="29"/>
    </row>
    <row r="17" spans="2:9" ht="30" customHeight="1" x14ac:dyDescent="0.25">
      <c r="B17" s="30"/>
      <c r="C17" s="31"/>
      <c r="D17" s="31"/>
      <c r="E17" s="31"/>
      <c r="F17" s="31"/>
      <c r="G17" s="31"/>
      <c r="H17" s="81"/>
      <c r="I17" s="32"/>
    </row>
    <row r="19" spans="2:9" ht="30" customHeight="1" x14ac:dyDescent="0.25">
      <c r="B19" s="148" t="s">
        <v>18</v>
      </c>
      <c r="C19" s="149"/>
      <c r="D19" s="149"/>
      <c r="E19" s="36"/>
      <c r="F19" s="36"/>
      <c r="G19" s="36"/>
      <c r="H19" s="36"/>
      <c r="I19" s="37"/>
    </row>
    <row r="20" spans="2:9" ht="9.9499999999999993" customHeight="1" x14ac:dyDescent="0.25">
      <c r="B20" s="28"/>
      <c r="I20" s="29"/>
    </row>
    <row r="21" spans="2:9" ht="30" customHeight="1" x14ac:dyDescent="0.25">
      <c r="B21" s="28"/>
      <c r="C21" s="26" t="s">
        <v>1</v>
      </c>
      <c r="D21" s="26" t="s">
        <v>2</v>
      </c>
      <c r="E21" s="27">
        <v>1401</v>
      </c>
      <c r="F21" s="27">
        <v>1402</v>
      </c>
      <c r="G21" s="27">
        <v>1403</v>
      </c>
      <c r="H21" s="27">
        <v>1404</v>
      </c>
      <c r="I21" s="29"/>
    </row>
    <row r="22" spans="2:9" ht="30" customHeight="1" x14ac:dyDescent="0.25">
      <c r="B22" s="28"/>
      <c r="C22" s="38" t="s">
        <v>59</v>
      </c>
      <c r="D22" s="65" t="s">
        <v>5</v>
      </c>
      <c r="E22" s="39">
        <v>131958</v>
      </c>
      <c r="F22" s="39">
        <v>154868</v>
      </c>
      <c r="G22" s="39">
        <v>222997</v>
      </c>
      <c r="H22" s="40">
        <f>درآمد!H38*'بهای تمام شده'!H29</f>
        <v>282496.47283469141</v>
      </c>
      <c r="I22" s="29"/>
    </row>
    <row r="23" spans="2:9" ht="30" customHeight="1" x14ac:dyDescent="0.25">
      <c r="B23" s="28"/>
      <c r="C23" s="88" t="s">
        <v>60</v>
      </c>
      <c r="D23" s="42" t="s">
        <v>5</v>
      </c>
      <c r="E23" s="42">
        <v>182716</v>
      </c>
      <c r="F23" s="42">
        <v>356784</v>
      </c>
      <c r="G23" s="42">
        <v>474174</v>
      </c>
      <c r="H23" s="89">
        <f>H22*H35</f>
        <v>600691.8591277774</v>
      </c>
      <c r="I23" s="29"/>
    </row>
    <row r="24" spans="2:9" ht="30" customHeight="1" x14ac:dyDescent="0.25">
      <c r="B24" s="30"/>
      <c r="C24" s="31"/>
      <c r="D24" s="81"/>
      <c r="E24" s="81"/>
      <c r="F24" s="81"/>
      <c r="G24" s="81"/>
      <c r="H24" s="31"/>
      <c r="I24" s="32"/>
    </row>
    <row r="26" spans="2:9" ht="30" customHeight="1" x14ac:dyDescent="0.25">
      <c r="B26" s="148" t="s">
        <v>94</v>
      </c>
      <c r="C26" s="149"/>
      <c r="D26" s="149"/>
      <c r="E26" s="36"/>
      <c r="F26" s="36"/>
      <c r="G26" s="36"/>
      <c r="H26" s="36"/>
      <c r="I26" s="37"/>
    </row>
    <row r="27" spans="2:9" ht="9.9499999999999993" customHeight="1" x14ac:dyDescent="0.25">
      <c r="B27" s="28"/>
      <c r="I27" s="29"/>
    </row>
    <row r="28" spans="2:9" ht="30" customHeight="1" x14ac:dyDescent="0.25">
      <c r="B28" s="28"/>
      <c r="C28" s="26" t="s">
        <v>1</v>
      </c>
      <c r="D28" s="26" t="s">
        <v>2</v>
      </c>
      <c r="E28" s="27">
        <v>1401</v>
      </c>
      <c r="F28" s="27">
        <v>1402</v>
      </c>
      <c r="G28" s="27">
        <v>1403</v>
      </c>
      <c r="H28" s="27">
        <v>1404</v>
      </c>
      <c r="I28" s="29"/>
    </row>
    <row r="29" spans="2:9" ht="30" customHeight="1" x14ac:dyDescent="0.25">
      <c r="B29" s="28"/>
      <c r="C29" s="90" t="s">
        <v>91</v>
      </c>
      <c r="D29" s="39"/>
      <c r="E29" s="130">
        <f>E22/درآمد!E38</f>
        <v>4.0820725309408373E-4</v>
      </c>
      <c r="F29" s="131">
        <f>F22/درآمد!F38</f>
        <v>3.4518748283248499E-4</v>
      </c>
      <c r="G29" s="131">
        <f>G22/درآمد!G38</f>
        <v>4.2132210713600511E-4</v>
      </c>
      <c r="H29" s="132">
        <v>4.2132210713600511E-4</v>
      </c>
      <c r="I29" s="29"/>
    </row>
    <row r="30" spans="2:9" ht="30" customHeight="1" x14ac:dyDescent="0.25">
      <c r="B30" s="30"/>
      <c r="C30" s="31"/>
      <c r="D30" s="81"/>
      <c r="E30" s="31"/>
      <c r="F30" s="81"/>
      <c r="G30" s="81"/>
      <c r="H30" s="31"/>
      <c r="I30" s="32"/>
    </row>
    <row r="32" spans="2:9" ht="30" customHeight="1" x14ac:dyDescent="0.25">
      <c r="B32" s="148" t="s">
        <v>93</v>
      </c>
      <c r="C32" s="149"/>
      <c r="D32" s="149"/>
      <c r="E32" s="36"/>
      <c r="F32" s="36"/>
      <c r="G32" s="36"/>
      <c r="H32" s="36"/>
      <c r="I32" s="37"/>
    </row>
    <row r="33" spans="2:14" ht="30" customHeight="1" x14ac:dyDescent="0.25">
      <c r="B33" s="28"/>
      <c r="I33" s="29"/>
    </row>
    <row r="34" spans="2:14" ht="30" customHeight="1" x14ac:dyDescent="0.25">
      <c r="B34" s="28"/>
      <c r="C34" s="26" t="s">
        <v>1</v>
      </c>
      <c r="D34" s="26" t="s">
        <v>2</v>
      </c>
      <c r="E34" s="27">
        <v>1401</v>
      </c>
      <c r="F34" s="27">
        <v>1402</v>
      </c>
      <c r="G34" s="27">
        <v>1403</v>
      </c>
      <c r="H34" s="27">
        <v>1404</v>
      </c>
      <c r="I34" s="29"/>
    </row>
    <row r="35" spans="2:14" ht="30" customHeight="1" x14ac:dyDescent="0.25">
      <c r="B35" s="28"/>
      <c r="C35" s="90" t="s">
        <v>60</v>
      </c>
      <c r="D35" s="39"/>
      <c r="E35" s="128">
        <f>E23/E22</f>
        <v>1.3846526925233786</v>
      </c>
      <c r="F35" s="128">
        <f t="shared" ref="F35" si="2">F23/F22</f>
        <v>2.3037941989307025</v>
      </c>
      <c r="G35" s="128">
        <f>G23/G22</f>
        <v>2.1263694130414312</v>
      </c>
      <c r="H35" s="129">
        <v>2.1263694130414312</v>
      </c>
      <c r="I35" s="29"/>
      <c r="J35" s="133"/>
      <c r="K35" s="133"/>
      <c r="L35" s="133"/>
      <c r="M35" s="133"/>
      <c r="N35" s="133"/>
    </row>
    <row r="36" spans="2:14" ht="30" customHeight="1" x14ac:dyDescent="0.25">
      <c r="B36" s="30"/>
      <c r="C36" s="31"/>
      <c r="D36" s="81"/>
      <c r="E36" s="31"/>
      <c r="F36" s="81"/>
      <c r="G36" s="81"/>
      <c r="H36" s="31"/>
      <c r="I36" s="32"/>
    </row>
    <row r="38" spans="2:14" ht="30" customHeight="1" x14ac:dyDescent="0.25">
      <c r="B38" s="148" t="s">
        <v>19</v>
      </c>
      <c r="C38" s="149"/>
      <c r="D38" s="149"/>
      <c r="E38" s="36"/>
      <c r="F38" s="36"/>
      <c r="G38" s="36"/>
      <c r="H38" s="36"/>
      <c r="I38" s="37"/>
    </row>
    <row r="39" spans="2:14" ht="9.9499999999999993" customHeight="1" x14ac:dyDescent="0.25">
      <c r="B39" s="28"/>
      <c r="I39" s="29"/>
    </row>
    <row r="40" spans="2:14" ht="30" customHeight="1" x14ac:dyDescent="0.25">
      <c r="B40" s="28"/>
      <c r="C40" s="26" t="s">
        <v>1</v>
      </c>
      <c r="D40" s="26" t="s">
        <v>2</v>
      </c>
      <c r="E40" s="27">
        <v>1401</v>
      </c>
      <c r="F40" s="27">
        <v>1402</v>
      </c>
      <c r="G40" s="27">
        <v>1403</v>
      </c>
      <c r="H40" s="27">
        <v>1404</v>
      </c>
      <c r="I40" s="29"/>
    </row>
    <row r="41" spans="2:14" ht="30" customHeight="1" x14ac:dyDescent="0.25">
      <c r="B41" s="28"/>
      <c r="C41" s="38" t="s">
        <v>59</v>
      </c>
      <c r="D41" s="39" t="s">
        <v>5</v>
      </c>
      <c r="E41" s="39">
        <v>7718470</v>
      </c>
      <c r="F41" s="39">
        <v>10151659</v>
      </c>
      <c r="G41" s="39">
        <v>14985696</v>
      </c>
      <c r="H41" s="91">
        <f>H22*H5/1000</f>
        <v>18764749.314374588</v>
      </c>
      <c r="I41" s="29"/>
    </row>
    <row r="42" spans="2:14" ht="30" customHeight="1" x14ac:dyDescent="0.25">
      <c r="B42" s="28"/>
      <c r="C42" s="41" t="s">
        <v>60</v>
      </c>
      <c r="D42" s="42" t="s">
        <v>5</v>
      </c>
      <c r="E42" s="42">
        <v>131000</v>
      </c>
      <c r="F42" s="42">
        <v>359513</v>
      </c>
      <c r="G42" s="42">
        <v>496263</v>
      </c>
      <c r="H42" s="92">
        <f>H23*H6/1000000</f>
        <v>621408.78596517642</v>
      </c>
      <c r="I42" s="29"/>
    </row>
    <row r="43" spans="2:14" ht="30" customHeight="1" x14ac:dyDescent="0.25">
      <c r="B43" s="28"/>
      <c r="C43" s="79" t="s">
        <v>20</v>
      </c>
      <c r="D43" s="82"/>
      <c r="E43" s="82">
        <f>SUBTOTAL(109,'بهای تمام شده'!$E$41:$E$42)</f>
        <v>7849470</v>
      </c>
      <c r="F43" s="82">
        <f>SUBTOTAL(109,'بهای تمام شده'!$F$41:$F$42)</f>
        <v>10511172</v>
      </c>
      <c r="G43" s="82">
        <f>SUBTOTAL(109,'بهای تمام شده'!$G$41:$G$42)</f>
        <v>15481959</v>
      </c>
      <c r="H43" s="82">
        <f>SUBTOTAL(109,'بهای تمام شده'!$H$41:$H$42)</f>
        <v>19386158.100339767</v>
      </c>
      <c r="I43" s="29"/>
    </row>
    <row r="44" spans="2:14" ht="30" customHeight="1" x14ac:dyDescent="0.25">
      <c r="B44" s="30"/>
      <c r="C44" s="31"/>
      <c r="D44" s="31"/>
      <c r="E44" s="31"/>
      <c r="F44" s="31"/>
      <c r="G44" s="31"/>
      <c r="H44" s="31"/>
      <c r="I44" s="32"/>
    </row>
    <row r="46" spans="2:14" ht="30" customHeight="1" x14ac:dyDescent="0.25">
      <c r="B46" s="148" t="s">
        <v>21</v>
      </c>
      <c r="C46" s="149"/>
      <c r="D46" s="149"/>
      <c r="E46" s="36"/>
      <c r="F46" s="36"/>
      <c r="G46" s="36"/>
      <c r="H46" s="36"/>
      <c r="I46" s="37"/>
    </row>
    <row r="47" spans="2:14" ht="9.9499999999999993" customHeight="1" x14ac:dyDescent="0.25">
      <c r="B47" s="28"/>
      <c r="I47" s="29"/>
    </row>
    <row r="48" spans="2:14" ht="30" customHeight="1" x14ac:dyDescent="0.25">
      <c r="B48" s="28"/>
      <c r="C48" s="26" t="s">
        <v>1</v>
      </c>
      <c r="D48" s="26" t="s">
        <v>2</v>
      </c>
      <c r="E48" s="27">
        <v>1401</v>
      </c>
      <c r="F48" s="27">
        <v>1402</v>
      </c>
      <c r="G48" s="27">
        <v>1403</v>
      </c>
      <c r="H48" s="27">
        <v>1404</v>
      </c>
      <c r="I48" s="29"/>
    </row>
    <row r="49" spans="2:9" ht="30" customHeight="1" x14ac:dyDescent="0.25">
      <c r="B49" s="28"/>
      <c r="C49" s="39" t="s">
        <v>62</v>
      </c>
      <c r="D49" s="39"/>
      <c r="E49" s="39">
        <v>295411</v>
      </c>
      <c r="F49" s="39">
        <v>437536</v>
      </c>
      <c r="G49" s="135">
        <v>749542</v>
      </c>
      <c r="H49" s="91">
        <f>G49*(1+مفروضات!$E$13)</f>
        <v>1011881.7000000001</v>
      </c>
      <c r="I49" s="29"/>
    </row>
    <row r="50" spans="2:9" ht="30" customHeight="1" x14ac:dyDescent="0.25">
      <c r="B50" s="28"/>
      <c r="C50" s="41" t="s">
        <v>63</v>
      </c>
      <c r="D50" s="42"/>
      <c r="E50" s="42">
        <v>74726</v>
      </c>
      <c r="F50" s="42">
        <v>202773</v>
      </c>
      <c r="G50" s="1">
        <v>410606</v>
      </c>
      <c r="H50" s="92">
        <f>G50*(1+مفروضات!$E$13)</f>
        <v>554318.10000000009</v>
      </c>
      <c r="I50" s="29"/>
    </row>
    <row r="51" spans="2:9" ht="30" customHeight="1" x14ac:dyDescent="0.25">
      <c r="B51" s="28"/>
      <c r="C51" s="38" t="s">
        <v>64</v>
      </c>
      <c r="D51" s="39"/>
      <c r="E51" s="39">
        <v>236541</v>
      </c>
      <c r="F51" s="39">
        <v>343719</v>
      </c>
      <c r="G51" s="39">
        <v>530542</v>
      </c>
      <c r="H51" s="91">
        <f>G51*(1+مفروضات!$E$13)</f>
        <v>716231.70000000007</v>
      </c>
      <c r="I51" s="29"/>
    </row>
    <row r="52" spans="2:9" ht="30" customHeight="1" x14ac:dyDescent="0.25">
      <c r="B52" s="28"/>
      <c r="C52" s="41" t="s">
        <v>65</v>
      </c>
      <c r="D52" s="42"/>
      <c r="E52" s="42">
        <v>0</v>
      </c>
      <c r="F52" s="42">
        <v>0</v>
      </c>
      <c r="G52" s="42">
        <v>0</v>
      </c>
      <c r="H52" s="92">
        <f>G52*(1+مفروضات!$E$13)</f>
        <v>0</v>
      </c>
      <c r="I52" s="29"/>
    </row>
    <row r="53" spans="2:9" ht="30" customHeight="1" x14ac:dyDescent="0.25">
      <c r="B53" s="28"/>
      <c r="C53" s="38" t="s">
        <v>66</v>
      </c>
      <c r="D53" s="39"/>
      <c r="E53" s="39">
        <v>0</v>
      </c>
      <c r="F53" s="39">
        <v>0</v>
      </c>
      <c r="G53" s="39">
        <v>0</v>
      </c>
      <c r="H53" s="91">
        <f>G53*(1+مفروضات!$E$13)</f>
        <v>0</v>
      </c>
      <c r="I53" s="29"/>
    </row>
    <row r="54" spans="2:9" ht="30" customHeight="1" x14ac:dyDescent="0.25">
      <c r="B54" s="28"/>
      <c r="C54" s="41" t="s">
        <v>67</v>
      </c>
      <c r="D54" s="42"/>
      <c r="E54" s="42">
        <v>0</v>
      </c>
      <c r="F54" s="42">
        <v>0</v>
      </c>
      <c r="G54" s="42">
        <v>0</v>
      </c>
      <c r="H54" s="92">
        <f>G54*(1+مفروضات!$E$13)</f>
        <v>0</v>
      </c>
      <c r="I54" s="29"/>
    </row>
    <row r="55" spans="2:9" ht="30" customHeight="1" x14ac:dyDescent="0.25">
      <c r="B55" s="28"/>
      <c r="C55" s="38" t="s">
        <v>68</v>
      </c>
      <c r="D55" s="39"/>
      <c r="E55" s="39">
        <v>0</v>
      </c>
      <c r="F55" s="39">
        <v>0</v>
      </c>
      <c r="G55" s="39">
        <v>0</v>
      </c>
      <c r="H55" s="91">
        <f>G55*(1+مفروضات!$E$13)</f>
        <v>0</v>
      </c>
      <c r="I55" s="29"/>
    </row>
    <row r="56" spans="2:9" ht="30" customHeight="1" x14ac:dyDescent="0.25">
      <c r="B56" s="28"/>
      <c r="C56" s="41" t="s">
        <v>69</v>
      </c>
      <c r="D56" s="42"/>
      <c r="E56" s="42">
        <v>0</v>
      </c>
      <c r="F56" s="42">
        <v>0</v>
      </c>
      <c r="G56" s="42">
        <v>0</v>
      </c>
      <c r="H56" s="92">
        <f>G56*(1+مفروضات!$E$13)</f>
        <v>0</v>
      </c>
      <c r="I56" s="29"/>
    </row>
    <row r="57" spans="2:9" ht="30" customHeight="1" x14ac:dyDescent="0.25">
      <c r="B57" s="28"/>
      <c r="C57" s="38" t="s">
        <v>70</v>
      </c>
      <c r="D57" s="39"/>
      <c r="E57" s="39">
        <v>0</v>
      </c>
      <c r="F57" s="39">
        <v>14443</v>
      </c>
      <c r="G57" s="39">
        <v>14833</v>
      </c>
      <c r="H57" s="91">
        <f>G57*(1+مفروضات!$E$13)</f>
        <v>20024.550000000003</v>
      </c>
      <c r="I57" s="87"/>
    </row>
    <row r="58" spans="2:9" ht="30" customHeight="1" x14ac:dyDescent="0.25">
      <c r="B58" s="28"/>
      <c r="C58" s="41" t="s">
        <v>71</v>
      </c>
      <c r="D58" s="42"/>
      <c r="E58" s="42">
        <v>201872</v>
      </c>
      <c r="F58" s="42">
        <v>446305</v>
      </c>
      <c r="G58" s="42">
        <v>606062</v>
      </c>
      <c r="H58" s="92">
        <f>G58*(1+مفروضات!$E$13)</f>
        <v>818183.70000000007</v>
      </c>
      <c r="I58" s="29"/>
    </row>
    <row r="59" spans="2:9" ht="30" customHeight="1" x14ac:dyDescent="0.25">
      <c r="B59" s="28"/>
      <c r="C59" s="43" t="s">
        <v>20</v>
      </c>
      <c r="D59" s="44"/>
      <c r="E59" s="44">
        <f>SUBTOTAL(109,'بهای تمام شده'!$E$49:$E$58)</f>
        <v>808550</v>
      </c>
      <c r="F59" s="44">
        <f>SUBTOTAL(109,'بهای تمام شده'!$F$49:$F$58)</f>
        <v>1444776</v>
      </c>
      <c r="G59" s="44">
        <f>SUBTOTAL(109,'بهای تمام شده'!$G$49:$G$58)</f>
        <v>2311585</v>
      </c>
      <c r="H59" s="44">
        <f>SUBTOTAL(109,'بهای تمام شده'!$H$49:$H$58)</f>
        <v>3120639.7500000005</v>
      </c>
      <c r="I59" s="29"/>
    </row>
    <row r="60" spans="2:9" ht="30" customHeight="1" x14ac:dyDescent="0.25">
      <c r="B60" s="30"/>
      <c r="C60" s="31"/>
      <c r="D60" s="31"/>
      <c r="E60" s="31"/>
      <c r="F60" s="31"/>
      <c r="G60" s="31"/>
      <c r="H60" s="31"/>
      <c r="I60" s="32"/>
    </row>
    <row r="62" spans="2:9" ht="30" customHeight="1" x14ac:dyDescent="0.25">
      <c r="B62" s="148" t="s">
        <v>22</v>
      </c>
      <c r="C62" s="149"/>
      <c r="D62" s="149"/>
      <c r="E62" s="36"/>
      <c r="F62" s="36"/>
      <c r="G62" s="36"/>
      <c r="H62" s="36"/>
      <c r="I62" s="37"/>
    </row>
    <row r="63" spans="2:9" ht="9.9499999999999993" customHeight="1" x14ac:dyDescent="0.25">
      <c r="B63" s="28"/>
      <c r="I63" s="29"/>
    </row>
    <row r="64" spans="2:9" ht="30" customHeight="1" x14ac:dyDescent="0.25">
      <c r="B64" s="28"/>
      <c r="C64" s="26" t="s">
        <v>1</v>
      </c>
      <c r="D64" s="26" t="s">
        <v>2</v>
      </c>
      <c r="E64" s="27">
        <v>1401</v>
      </c>
      <c r="F64" s="27">
        <v>1402</v>
      </c>
      <c r="G64" s="27">
        <v>1403</v>
      </c>
      <c r="H64" s="27">
        <v>1404</v>
      </c>
      <c r="I64" s="29"/>
    </row>
    <row r="65" spans="2:9" ht="30" customHeight="1" x14ac:dyDescent="0.25">
      <c r="B65" s="28"/>
      <c r="C65" s="38" t="s">
        <v>62</v>
      </c>
      <c r="D65" s="39"/>
      <c r="E65" s="39">
        <v>136021</v>
      </c>
      <c r="F65" s="39">
        <v>194124</v>
      </c>
      <c r="G65" s="39">
        <v>206241</v>
      </c>
      <c r="H65" s="91">
        <f>G65*(1+مفروضات!$E$13)</f>
        <v>278425.35000000003</v>
      </c>
      <c r="I65" s="29"/>
    </row>
    <row r="66" spans="2:9" ht="30" customHeight="1" x14ac:dyDescent="0.25">
      <c r="B66" s="28"/>
      <c r="C66" s="41" t="s">
        <v>63</v>
      </c>
      <c r="D66" s="42"/>
      <c r="E66" s="42">
        <v>2355</v>
      </c>
      <c r="F66" s="42">
        <v>3766</v>
      </c>
      <c r="G66" s="42">
        <v>8044</v>
      </c>
      <c r="H66" s="92">
        <f>G66*(1+مفروضات!$E$13)</f>
        <v>10859.400000000001</v>
      </c>
      <c r="I66" s="87"/>
    </row>
    <row r="67" spans="2:9" ht="30" customHeight="1" x14ac:dyDescent="0.25">
      <c r="B67" s="28"/>
      <c r="C67" s="38" t="s">
        <v>64</v>
      </c>
      <c r="D67" s="39"/>
      <c r="E67" s="39">
        <v>662</v>
      </c>
      <c r="F67" s="39">
        <v>979</v>
      </c>
      <c r="G67" s="39">
        <v>1238</v>
      </c>
      <c r="H67" s="91">
        <f>G67*(1+مفروضات!$E$13)</f>
        <v>1671.3000000000002</v>
      </c>
      <c r="I67" s="29"/>
    </row>
    <row r="68" spans="2:9" ht="30" customHeight="1" x14ac:dyDescent="0.25">
      <c r="B68" s="28"/>
      <c r="C68" s="41" t="s">
        <v>65</v>
      </c>
      <c r="D68" s="42"/>
      <c r="E68" s="42">
        <v>0</v>
      </c>
      <c r="F68" s="42">
        <v>0</v>
      </c>
      <c r="G68" s="42">
        <v>0</v>
      </c>
      <c r="H68" s="92">
        <f>G68*(1+مفروضات!$E$13)</f>
        <v>0</v>
      </c>
      <c r="I68" s="29"/>
    </row>
    <row r="69" spans="2:9" ht="30" customHeight="1" x14ac:dyDescent="0.25">
      <c r="B69" s="28"/>
      <c r="C69" s="38" t="s">
        <v>66</v>
      </c>
      <c r="D69" s="39"/>
      <c r="E69" s="39">
        <v>8044</v>
      </c>
      <c r="F69" s="39">
        <v>13606</v>
      </c>
      <c r="G69" s="39">
        <v>48785</v>
      </c>
      <c r="H69" s="91">
        <f>G69*(1+مفروضات!$E$13)</f>
        <v>65859.75</v>
      </c>
      <c r="I69" s="29"/>
    </row>
    <row r="70" spans="2:9" ht="30" customHeight="1" x14ac:dyDescent="0.25">
      <c r="B70" s="28"/>
      <c r="C70" s="41" t="s">
        <v>67</v>
      </c>
      <c r="D70" s="42"/>
      <c r="E70" s="42">
        <v>0</v>
      </c>
      <c r="F70" s="42">
        <v>0</v>
      </c>
      <c r="G70" s="42">
        <v>2808</v>
      </c>
      <c r="H70" s="92">
        <f>G70*(1+مفروضات!$E$13)</f>
        <v>3790.8</v>
      </c>
      <c r="I70" s="29"/>
    </row>
    <row r="71" spans="2:9" ht="30" customHeight="1" x14ac:dyDescent="0.25">
      <c r="B71" s="28"/>
      <c r="C71" s="38" t="s">
        <v>68</v>
      </c>
      <c r="D71" s="39"/>
      <c r="E71" s="39">
        <v>0</v>
      </c>
      <c r="F71" s="39">
        <v>0</v>
      </c>
      <c r="G71" s="39">
        <v>0</v>
      </c>
      <c r="H71" s="91">
        <f>G71*(1+مفروضات!$E$13)</f>
        <v>0</v>
      </c>
      <c r="I71" s="29"/>
    </row>
    <row r="72" spans="2:9" ht="30" customHeight="1" x14ac:dyDescent="0.25">
      <c r="B72" s="28"/>
      <c r="C72" s="41" t="s">
        <v>69</v>
      </c>
      <c r="D72" s="42"/>
      <c r="E72" s="42">
        <v>0</v>
      </c>
      <c r="F72" s="42">
        <v>0</v>
      </c>
      <c r="G72" s="42">
        <v>0</v>
      </c>
      <c r="H72" s="92">
        <f>G72*(1+مفروضات!$E$13)</f>
        <v>0</v>
      </c>
      <c r="I72" s="87"/>
    </row>
    <row r="73" spans="2:9" ht="30" customHeight="1" x14ac:dyDescent="0.25">
      <c r="B73" s="28"/>
      <c r="C73" s="38" t="s">
        <v>70</v>
      </c>
      <c r="D73" s="39"/>
      <c r="E73" s="39">
        <v>13950</v>
      </c>
      <c r="F73" s="39">
        <v>73255</v>
      </c>
      <c r="G73" s="39">
        <v>238265</v>
      </c>
      <c r="H73" s="91">
        <f>G73*(1+مفروضات!$E$13)</f>
        <v>321657.75</v>
      </c>
      <c r="I73" s="29"/>
    </row>
    <row r="74" spans="2:9" ht="30" customHeight="1" x14ac:dyDescent="0.25">
      <c r="B74" s="28"/>
      <c r="C74" s="41" t="s">
        <v>71</v>
      </c>
      <c r="D74" s="42"/>
      <c r="E74" s="42">
        <v>54852</v>
      </c>
      <c r="F74" s="42">
        <v>109537</v>
      </c>
      <c r="G74" s="42">
        <v>159839</v>
      </c>
      <c r="H74" s="92">
        <f>G74*(1+مفروضات!$E$13)</f>
        <v>215782.65000000002</v>
      </c>
      <c r="I74" s="87"/>
    </row>
    <row r="75" spans="2:9" ht="30" customHeight="1" x14ac:dyDescent="0.25">
      <c r="B75" s="28"/>
      <c r="C75" s="43" t="s">
        <v>20</v>
      </c>
      <c r="D75" s="44"/>
      <c r="E75" s="44">
        <f>SUBTOTAL(109,'بهای تمام شده'!$E$65:$E$74)</f>
        <v>215884</v>
      </c>
      <c r="F75" s="44">
        <f>SUBTOTAL(109,'بهای تمام شده'!$F$65:$F$74)</f>
        <v>395267</v>
      </c>
      <c r="G75" s="44">
        <f>SUBTOTAL(109,'بهای تمام شده'!$G$65:$G$74)</f>
        <v>665220</v>
      </c>
      <c r="H75" s="44">
        <f>SUBTOTAL(109,'بهای تمام شده'!$H$65:$H$74)</f>
        <v>898047.00000000012</v>
      </c>
      <c r="I75" s="29"/>
    </row>
    <row r="76" spans="2:9" ht="30" customHeight="1" x14ac:dyDescent="0.25">
      <c r="B76" s="30"/>
      <c r="C76" s="31"/>
      <c r="D76" s="31"/>
      <c r="E76" s="31"/>
      <c r="F76" s="31"/>
      <c r="G76" s="31"/>
      <c r="H76" s="31"/>
      <c r="I76" s="32"/>
    </row>
    <row r="78" spans="2:9" ht="30" customHeight="1" x14ac:dyDescent="0.25">
      <c r="B78" s="148" t="s">
        <v>23</v>
      </c>
      <c r="C78" s="149"/>
      <c r="D78" s="149"/>
      <c r="E78" s="36"/>
      <c r="F78" s="36"/>
      <c r="G78" s="36"/>
      <c r="H78" s="36"/>
      <c r="I78" s="37"/>
    </row>
    <row r="79" spans="2:9" ht="9.9499999999999993" customHeight="1" x14ac:dyDescent="0.25">
      <c r="B79" s="28"/>
      <c r="I79" s="29"/>
    </row>
    <row r="80" spans="2:9" ht="30" customHeight="1" x14ac:dyDescent="0.25">
      <c r="B80" s="28"/>
      <c r="C80" s="26" t="s">
        <v>1</v>
      </c>
      <c r="D80" s="26" t="s">
        <v>2</v>
      </c>
      <c r="E80" s="27">
        <v>1401</v>
      </c>
      <c r="F80" s="27">
        <v>1402</v>
      </c>
      <c r="G80" s="27">
        <v>1403</v>
      </c>
      <c r="H80" s="27">
        <v>1404</v>
      </c>
      <c r="I80" s="29"/>
    </row>
    <row r="81" spans="2:9" ht="30" customHeight="1" x14ac:dyDescent="0.25">
      <c r="B81" s="28"/>
      <c r="C81" s="39" t="s">
        <v>72</v>
      </c>
      <c r="D81" s="39"/>
      <c r="E81" s="39">
        <v>7849470</v>
      </c>
      <c r="F81" s="39">
        <v>10511172</v>
      </c>
      <c r="G81" s="39">
        <v>15481959</v>
      </c>
      <c r="H81" s="91">
        <f>H43</f>
        <v>19386158.100339767</v>
      </c>
      <c r="I81" s="29"/>
    </row>
    <row r="82" spans="2:9" ht="30" customHeight="1" x14ac:dyDescent="0.25">
      <c r="B82" s="28"/>
      <c r="C82" s="41" t="s">
        <v>73</v>
      </c>
      <c r="D82" s="42"/>
      <c r="E82" s="42">
        <v>193535</v>
      </c>
      <c r="F82" s="42">
        <v>301490</v>
      </c>
      <c r="G82" s="42">
        <v>382311</v>
      </c>
      <c r="H82" s="121">
        <f>G82*(1+مفروضات!E13)</f>
        <v>516119.85000000003</v>
      </c>
      <c r="I82" s="29"/>
    </row>
    <row r="83" spans="2:9" ht="30" customHeight="1" x14ac:dyDescent="0.25">
      <c r="B83" s="28"/>
      <c r="C83" s="39" t="s">
        <v>74</v>
      </c>
      <c r="D83" s="39"/>
      <c r="E83" s="39">
        <v>808550</v>
      </c>
      <c r="F83" s="39">
        <v>1444776</v>
      </c>
      <c r="G83" s="39">
        <v>2311585</v>
      </c>
      <c r="H83" s="91">
        <f>H59</f>
        <v>3120639.7500000005</v>
      </c>
      <c r="I83" s="29"/>
    </row>
    <row r="84" spans="2:9" ht="30" customHeight="1" x14ac:dyDescent="0.25">
      <c r="B84" s="28"/>
      <c r="C84" s="41" t="s">
        <v>75</v>
      </c>
      <c r="D84" s="42"/>
      <c r="E84" s="42">
        <v>-58614</v>
      </c>
      <c r="F84" s="42">
        <v>0</v>
      </c>
      <c r="G84" s="42">
        <v>0</v>
      </c>
      <c r="H84" s="42">
        <f>(G84*مفروضات!$E$13)+G84</f>
        <v>0</v>
      </c>
      <c r="I84" s="87"/>
    </row>
    <row r="85" spans="2:9" ht="30" customHeight="1" x14ac:dyDescent="0.25">
      <c r="B85" s="28"/>
      <c r="C85" s="39" t="s">
        <v>76</v>
      </c>
      <c r="D85" s="39"/>
      <c r="E85" s="39">
        <v>0</v>
      </c>
      <c r="F85" s="39">
        <v>0</v>
      </c>
      <c r="G85" s="39">
        <v>0</v>
      </c>
      <c r="H85" s="91">
        <f>(G85*مفروضات!$E$13)+G85</f>
        <v>0</v>
      </c>
      <c r="I85" s="29"/>
    </row>
    <row r="86" spans="2:9" ht="30" customHeight="1" x14ac:dyDescent="0.25">
      <c r="B86" s="28"/>
      <c r="C86" s="41" t="s">
        <v>77</v>
      </c>
      <c r="D86" s="42"/>
      <c r="E86" s="42">
        <v>0</v>
      </c>
      <c r="F86" s="42">
        <v>0</v>
      </c>
      <c r="G86" s="42">
        <v>-7980</v>
      </c>
      <c r="H86" s="42">
        <v>0</v>
      </c>
      <c r="I86" s="87"/>
    </row>
    <row r="87" spans="2:9" ht="30" customHeight="1" x14ac:dyDescent="0.25">
      <c r="B87" s="28"/>
      <c r="C87" s="39" t="s">
        <v>78</v>
      </c>
      <c r="D87" s="39"/>
      <c r="E87" s="39">
        <v>139226</v>
      </c>
      <c r="F87" s="39">
        <v>150431</v>
      </c>
      <c r="G87" s="39">
        <v>274917</v>
      </c>
      <c r="H87" s="39">
        <v>0</v>
      </c>
      <c r="I87" s="87"/>
    </row>
    <row r="88" spans="2:9" ht="30" customHeight="1" x14ac:dyDescent="0.25">
      <c r="B88" s="28"/>
      <c r="C88" s="41" t="s">
        <v>79</v>
      </c>
      <c r="D88" s="42"/>
      <c r="E88" s="42">
        <v>-150431</v>
      </c>
      <c r="F88" s="42">
        <v>-274917</v>
      </c>
      <c r="G88" s="42">
        <v>-489405</v>
      </c>
      <c r="H88" s="121">
        <v>0</v>
      </c>
      <c r="I88" s="29"/>
    </row>
    <row r="89" spans="2:9" ht="30" customHeight="1" x14ac:dyDescent="0.25">
      <c r="B89" s="28"/>
      <c r="C89" s="39" t="s">
        <v>80</v>
      </c>
      <c r="D89" s="39"/>
      <c r="E89" s="39">
        <v>0</v>
      </c>
      <c r="F89" s="39">
        <v>0</v>
      </c>
      <c r="G89" s="39">
        <v>0</v>
      </c>
      <c r="H89" s="39">
        <f>(G89*مفروضات!$E$13)+G89</f>
        <v>0</v>
      </c>
      <c r="I89" s="87"/>
    </row>
    <row r="90" spans="2:9" ht="30" customHeight="1" x14ac:dyDescent="0.25">
      <c r="B90" s="28"/>
      <c r="C90" s="43" t="s">
        <v>20</v>
      </c>
      <c r="D90" s="44"/>
      <c r="E90" s="44">
        <f>SUBTOTAL(109,'بهای تمام شده'!$E$81:$E$89)</f>
        <v>8781736</v>
      </c>
      <c r="F90" s="44">
        <f>SUBTOTAL(109,'بهای تمام شده'!$F$81:$F$89)</f>
        <v>12132952</v>
      </c>
      <c r="G90" s="44">
        <f>SUBTOTAL(109,'بهای تمام شده'!$G$81:$G$89)</f>
        <v>17953387</v>
      </c>
      <c r="H90" s="44">
        <f>SUBTOTAL(109,'بهای تمام شده'!$H$81:$H$89)</f>
        <v>23022917.700339768</v>
      </c>
      <c r="I90" s="29"/>
    </row>
    <row r="91" spans="2:9" ht="30" customHeight="1" x14ac:dyDescent="0.25">
      <c r="B91" s="30"/>
      <c r="C91" s="31"/>
      <c r="D91" s="31"/>
      <c r="E91" s="31"/>
      <c r="F91" s="31"/>
      <c r="G91" s="31"/>
      <c r="H91" s="31"/>
      <c r="I91" s="32"/>
    </row>
  </sheetData>
  <mergeCells count="9">
    <mergeCell ref="B46:D46"/>
    <mergeCell ref="B62:D62"/>
    <mergeCell ref="B78:D78"/>
    <mergeCell ref="B2:D2"/>
    <mergeCell ref="B12:D12"/>
    <mergeCell ref="B19:D19"/>
    <mergeCell ref="B26:D26"/>
    <mergeCell ref="B38:D38"/>
    <mergeCell ref="B32:D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10DD-2303-42D5-8C4C-F5C68BFCD608}">
  <dimension ref="B2:I23"/>
  <sheetViews>
    <sheetView showGridLines="0" rightToLeft="1" zoomScaleNormal="100" workbookViewId="0">
      <selection activeCell="F3" sqref="F3"/>
    </sheetView>
  </sheetViews>
  <sheetFormatPr defaultRowHeight="30" customHeight="1" x14ac:dyDescent="0.25"/>
  <cols>
    <col min="1" max="1" width="5.7109375" style="1" customWidth="1"/>
    <col min="2" max="2" width="50.7109375" style="1" customWidth="1"/>
    <col min="3" max="6" width="20.7109375" style="1" customWidth="1"/>
    <col min="7" max="16384" width="9.140625" style="1"/>
  </cols>
  <sheetData>
    <row r="2" spans="2:9" ht="42" customHeight="1" x14ac:dyDescent="0.25">
      <c r="B2" s="23" t="s">
        <v>1</v>
      </c>
      <c r="C2" s="23" t="s">
        <v>55</v>
      </c>
      <c r="D2" s="23" t="s">
        <v>56</v>
      </c>
      <c r="E2" s="23" t="s">
        <v>58</v>
      </c>
      <c r="F2" s="23" t="s">
        <v>95</v>
      </c>
    </row>
    <row r="3" spans="2:9" ht="35.1" customHeight="1" x14ac:dyDescent="0.25">
      <c r="B3" s="52" t="s">
        <v>24</v>
      </c>
      <c r="C3" s="53">
        <v>11031555</v>
      </c>
      <c r="D3" s="53">
        <v>17494189</v>
      </c>
      <c r="E3" s="110">
        <v>23374600</v>
      </c>
      <c r="F3" s="98">
        <f>درآمد!H51</f>
        <v>29483587.067086875</v>
      </c>
    </row>
    <row r="4" spans="2:9" ht="35.1" customHeight="1" x14ac:dyDescent="0.25">
      <c r="B4" s="55" t="s">
        <v>25</v>
      </c>
      <c r="C4" s="56">
        <v>-8781736</v>
      </c>
      <c r="D4" s="56">
        <v>-12132952</v>
      </c>
      <c r="E4" s="114">
        <v>-17953387</v>
      </c>
      <c r="F4" s="115">
        <f>-'بهای تمام شده'!H90</f>
        <v>-23022917.700339768</v>
      </c>
    </row>
    <row r="5" spans="2:9" ht="35.1" customHeight="1" x14ac:dyDescent="0.25">
      <c r="B5" s="58" t="s">
        <v>26</v>
      </c>
      <c r="C5" s="59">
        <f>SUBTOTAL(109,'سود و زیان'!$C$3:$C$4)</f>
        <v>2249819</v>
      </c>
      <c r="D5" s="59">
        <f>SUBTOTAL(109,'سود و زیان'!$D$3:$D$4)</f>
        <v>5361237</v>
      </c>
      <c r="E5" s="60">
        <f>SUBTOTAL(109,'سود و زیان'!$E$3:$E$4)</f>
        <v>5421213</v>
      </c>
      <c r="F5" s="60">
        <f>SUBTOTAL(109,'سود و زیان'!$F$3:$F$4)</f>
        <v>6460669.3667471074</v>
      </c>
    </row>
    <row r="6" spans="2:9" ht="35.1" customHeight="1" x14ac:dyDescent="0.25">
      <c r="B6" s="52" t="s">
        <v>27</v>
      </c>
      <c r="C6" s="53">
        <v>-215884</v>
      </c>
      <c r="D6" s="53">
        <v>-395267</v>
      </c>
      <c r="E6" s="110">
        <v>-665220</v>
      </c>
      <c r="F6" s="101">
        <f>-'بهای تمام شده'!H75</f>
        <v>-898047.00000000012</v>
      </c>
    </row>
    <row r="7" spans="2:9" ht="35.1" customHeight="1" x14ac:dyDescent="0.25">
      <c r="B7" s="55" t="s">
        <v>28</v>
      </c>
      <c r="C7" s="61">
        <v>0</v>
      </c>
      <c r="D7" s="61">
        <v>0</v>
      </c>
      <c r="E7" s="57">
        <v>0</v>
      </c>
      <c r="F7" s="102">
        <v>0</v>
      </c>
    </row>
    <row r="8" spans="2:9" ht="35.1" customHeight="1" x14ac:dyDescent="0.25">
      <c r="B8" s="52" t="s">
        <v>29</v>
      </c>
      <c r="C8" s="53">
        <v>91739</v>
      </c>
      <c r="D8" s="53">
        <v>182392</v>
      </c>
      <c r="E8" s="110">
        <v>722255</v>
      </c>
      <c r="F8" s="101">
        <v>444000</v>
      </c>
      <c r="G8" s="1" t="s">
        <v>104</v>
      </c>
    </row>
    <row r="9" spans="2:9" ht="35.1" customHeight="1" x14ac:dyDescent="0.25">
      <c r="B9" s="55" t="s">
        <v>30</v>
      </c>
      <c r="C9" s="61">
        <v>-58614</v>
      </c>
      <c r="D9" s="61">
        <v>0</v>
      </c>
      <c r="E9" s="109">
        <v>0</v>
      </c>
      <c r="F9" s="108">
        <v>0</v>
      </c>
    </row>
    <row r="10" spans="2:9" ht="35.1" customHeight="1" x14ac:dyDescent="0.25">
      <c r="B10" s="63" t="s">
        <v>31</v>
      </c>
      <c r="C10" s="59">
        <f>C5+SUBTOTAL(109,'سود و زیان'!$C$6:$C$9)</f>
        <v>2067060</v>
      </c>
      <c r="D10" s="59">
        <f>D5+SUBTOTAL(109,'سود و زیان'!$D$6:$D$9)</f>
        <v>5148362</v>
      </c>
      <c r="E10" s="60">
        <f>E5+SUBTOTAL(109,'سود و زیان'!$E$6:$E$9)</f>
        <v>5478248</v>
      </c>
      <c r="F10" s="60">
        <f>F5+SUBTOTAL(109,'سود و زیان'!$F$6:$F$9)</f>
        <v>6006622.3667471074</v>
      </c>
    </row>
    <row r="11" spans="2:9" ht="35.1" customHeight="1" x14ac:dyDescent="0.25">
      <c r="B11" s="52" t="s">
        <v>32</v>
      </c>
      <c r="C11" s="53">
        <v>-13393</v>
      </c>
      <c r="D11" s="104">
        <v>-132477</v>
      </c>
      <c r="E11" s="110">
        <v>-86315</v>
      </c>
      <c r="F11" s="110">
        <v>-86315</v>
      </c>
      <c r="G11" s="1" t="s">
        <v>104</v>
      </c>
    </row>
    <row r="12" spans="2:9" ht="35.1" customHeight="1" x14ac:dyDescent="0.25">
      <c r="B12" s="55" t="s">
        <v>33</v>
      </c>
      <c r="C12" s="61"/>
      <c r="E12" s="57"/>
      <c r="F12" s="103"/>
    </row>
    <row r="13" spans="2:9" ht="35.1" customHeight="1" x14ac:dyDescent="0.25">
      <c r="B13" s="52" t="s">
        <v>34</v>
      </c>
      <c r="C13" s="53">
        <v>-12868</v>
      </c>
      <c r="D13" s="53">
        <v>-6817</v>
      </c>
      <c r="E13" s="111">
        <v>-70675</v>
      </c>
      <c r="F13" s="111">
        <v>0</v>
      </c>
      <c r="G13" s="1" t="s">
        <v>104</v>
      </c>
    </row>
    <row r="14" spans="2:9" ht="35.1" customHeight="1" x14ac:dyDescent="0.25">
      <c r="B14" s="58" t="s">
        <v>35</v>
      </c>
      <c r="C14" s="59">
        <f>'سود و زیان'!$C$10+SUBTOTAL(109,'سود و زیان'!$C$11:$C$13)</f>
        <v>2040799</v>
      </c>
      <c r="D14" s="59">
        <f>'سود و زیان'!$D$10+SUBTOTAL(109,'سود و زیان'!$D$11:$D$13)</f>
        <v>5009068</v>
      </c>
      <c r="E14" s="60">
        <f>'سود و زیان'!$E$10+SUBTOTAL(109,'سود و زیان'!$E$11:$E$13)</f>
        <v>5321258</v>
      </c>
      <c r="F14" s="60">
        <f>'سود و زیان'!$F$10+SUBTOTAL(109,'سود و زیان'!$F$11:$F$13)</f>
        <v>5920307.3667471074</v>
      </c>
    </row>
    <row r="15" spans="2:9" ht="35.1" customHeight="1" x14ac:dyDescent="0.25">
      <c r="B15" s="52" t="s">
        <v>36</v>
      </c>
      <c r="C15" s="53"/>
      <c r="D15" s="62"/>
      <c r="E15" s="54"/>
      <c r="F15" s="107"/>
    </row>
    <row r="16" spans="2:9" ht="35.1" customHeight="1" x14ac:dyDescent="0.25">
      <c r="B16" s="55" t="s">
        <v>37</v>
      </c>
      <c r="C16" s="61">
        <v>-209718</v>
      </c>
      <c r="D16" s="61">
        <v>-694029</v>
      </c>
      <c r="E16" s="112">
        <v>-511400</v>
      </c>
      <c r="F16" s="112">
        <f>-F14*0.1</f>
        <v>-592030.73667471076</v>
      </c>
      <c r="G16" s="134"/>
      <c r="H16" s="134"/>
      <c r="I16" s="134"/>
    </row>
    <row r="17" spans="2:6" ht="35.1" customHeight="1" x14ac:dyDescent="0.25">
      <c r="B17" s="52" t="s">
        <v>38</v>
      </c>
      <c r="C17" s="53"/>
      <c r="D17" s="62"/>
      <c r="E17" s="111"/>
      <c r="F17" s="100"/>
    </row>
    <row r="18" spans="2:6" ht="35.1" customHeight="1" x14ac:dyDescent="0.25">
      <c r="B18" s="58" t="s">
        <v>39</v>
      </c>
      <c r="C18" s="59">
        <f>'سود و زیان'!$C$14+SUBTOTAL(109,'سود و زیان'!$C$15:$C$17)</f>
        <v>1831081</v>
      </c>
      <c r="D18" s="59">
        <f>'سود و زیان'!$D$14+SUBTOTAL(109,'سود و زیان'!$D$15:$D$17)</f>
        <v>4315039</v>
      </c>
      <c r="E18" s="60">
        <f>'سود و زیان'!$E$14+SUBTOTAL(109,'سود و زیان'!$E$15:$E$17)</f>
        <v>4809858</v>
      </c>
      <c r="F18" s="60">
        <f>'سود و زیان'!$F$14+SUBTOTAL(109,'سود و زیان'!$F$15:$F$17)</f>
        <v>5328276.6300723962</v>
      </c>
    </row>
    <row r="19" spans="2:6" ht="35.1" customHeight="1" x14ac:dyDescent="0.25">
      <c r="B19" s="52" t="s">
        <v>40</v>
      </c>
      <c r="C19" s="53"/>
      <c r="D19" s="62"/>
      <c r="E19" s="54"/>
      <c r="F19" s="107"/>
    </row>
    <row r="20" spans="2:6" ht="35.1" customHeight="1" x14ac:dyDescent="0.25">
      <c r="B20" s="55" t="s">
        <v>41</v>
      </c>
      <c r="C20" s="61"/>
      <c r="D20" s="61"/>
      <c r="E20" s="57"/>
      <c r="F20" s="102"/>
    </row>
    <row r="21" spans="2:6" ht="35.1" customHeight="1" x14ac:dyDescent="0.25">
      <c r="B21" s="58" t="s">
        <v>42</v>
      </c>
      <c r="C21" s="59">
        <f>'سود و زیان'!$C$18+SUBTOTAL(103,'سود و زیان'!$C$19:$C$20)</f>
        <v>1831081</v>
      </c>
      <c r="D21" s="59">
        <f>'سود و زیان'!$D$18+SUBTOTAL(103,'سود و زیان'!$D$19:$D$20)</f>
        <v>4315039</v>
      </c>
      <c r="E21" s="60">
        <f>'سود و زیان'!$E$18+SUBTOTAL(103,'سود و زیان'!$E$19:$E$20)</f>
        <v>4809858</v>
      </c>
      <c r="F21" s="99">
        <f>F18</f>
        <v>5328276.6300723962</v>
      </c>
    </row>
    <row r="22" spans="2:6" ht="35.1" customHeight="1" x14ac:dyDescent="0.25">
      <c r="B22" s="4" t="s">
        <v>43</v>
      </c>
      <c r="C22" s="59">
        <f t="shared" ref="C22:D22" si="0">C21/C23*1000</f>
        <v>1927.4536842105263</v>
      </c>
      <c r="D22" s="5">
        <f t="shared" si="0"/>
        <v>771.43809779208004</v>
      </c>
      <c r="E22" s="105">
        <f>E21/E23*1000</f>
        <v>859.90131402520785</v>
      </c>
      <c r="F22" s="106">
        <f>F21/F23*1000</f>
        <v>952.58364710331568</v>
      </c>
    </row>
    <row r="23" spans="2:6" ht="35.1" customHeight="1" x14ac:dyDescent="0.25">
      <c r="B23" s="2" t="s">
        <v>44</v>
      </c>
      <c r="C23" s="3">
        <v>950000</v>
      </c>
      <c r="D23" s="3">
        <v>5593500</v>
      </c>
      <c r="E23" s="113">
        <v>5593500</v>
      </c>
      <c r="F23" s="113">
        <v>5593500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EFF25-0504-4FBF-BB9B-A970CA9671CC}">
  <dimension ref="B2:C23"/>
  <sheetViews>
    <sheetView showGridLines="0" rightToLeft="1" zoomScaleNormal="100" workbookViewId="0">
      <selection activeCell="C15" sqref="C15"/>
    </sheetView>
  </sheetViews>
  <sheetFormatPr defaultRowHeight="30" customHeight="1" x14ac:dyDescent="0.25"/>
  <cols>
    <col min="1" max="1" width="5.7109375" style="1" customWidth="1"/>
    <col min="2" max="2" width="8.7109375" style="1" customWidth="1"/>
    <col min="3" max="3" width="200.7109375" style="1" customWidth="1"/>
    <col min="4" max="16384" width="9.140625" style="1"/>
  </cols>
  <sheetData>
    <row r="2" spans="2:3" ht="42" customHeight="1" x14ac:dyDescent="0.25">
      <c r="B2" s="34" t="s">
        <v>51</v>
      </c>
      <c r="C2" s="35" t="s">
        <v>50</v>
      </c>
    </row>
    <row r="3" spans="2:3" ht="30" customHeight="1" x14ac:dyDescent="0.25">
      <c r="B3" s="33">
        <v>1</v>
      </c>
      <c r="C3" s="24"/>
    </row>
    <row r="4" spans="2:3" ht="30" customHeight="1" x14ac:dyDescent="0.25">
      <c r="B4" s="33">
        <v>2</v>
      </c>
      <c r="C4" s="24"/>
    </row>
    <row r="5" spans="2:3" ht="30" customHeight="1" x14ac:dyDescent="0.25">
      <c r="B5" s="33">
        <v>3</v>
      </c>
      <c r="C5" s="24"/>
    </row>
    <row r="6" spans="2:3" ht="30" customHeight="1" x14ac:dyDescent="0.25">
      <c r="B6" s="33">
        <v>4</v>
      </c>
      <c r="C6" s="24"/>
    </row>
    <row r="7" spans="2:3" ht="30" customHeight="1" x14ac:dyDescent="0.25">
      <c r="B7" s="33">
        <v>5</v>
      </c>
      <c r="C7" s="24"/>
    </row>
    <row r="8" spans="2:3" ht="30" customHeight="1" x14ac:dyDescent="0.25">
      <c r="B8" s="33">
        <v>6</v>
      </c>
      <c r="C8" s="24"/>
    </row>
    <row r="9" spans="2:3" ht="30" customHeight="1" x14ac:dyDescent="0.25">
      <c r="B9" s="33">
        <v>7</v>
      </c>
      <c r="C9" s="24"/>
    </row>
    <row r="10" spans="2:3" ht="30" customHeight="1" x14ac:dyDescent="0.25">
      <c r="B10" s="33">
        <v>8</v>
      </c>
      <c r="C10" s="24"/>
    </row>
    <row r="11" spans="2:3" ht="30" customHeight="1" x14ac:dyDescent="0.25">
      <c r="B11" s="33">
        <v>9</v>
      </c>
      <c r="C11" s="24"/>
    </row>
    <row r="12" spans="2:3" ht="30" customHeight="1" x14ac:dyDescent="0.25">
      <c r="B12" s="33">
        <v>10</v>
      </c>
      <c r="C12" s="24"/>
    </row>
    <row r="13" spans="2:3" ht="35.1" customHeight="1" x14ac:dyDescent="0.25"/>
    <row r="14" spans="2:3" ht="35.1" customHeight="1" x14ac:dyDescent="0.25"/>
    <row r="15" spans="2:3" ht="35.1" customHeight="1" x14ac:dyDescent="0.25"/>
    <row r="16" spans="2:3" ht="35.1" customHeight="1" x14ac:dyDescent="0.25"/>
    <row r="17" ht="35.1" customHeight="1" x14ac:dyDescent="0.25"/>
    <row r="18" ht="35.1" customHeight="1" x14ac:dyDescent="0.25"/>
    <row r="19" ht="35.1" customHeight="1" x14ac:dyDescent="0.25"/>
    <row r="20" ht="35.1" customHeight="1" x14ac:dyDescent="0.25"/>
    <row r="21" ht="35.1" customHeight="1" x14ac:dyDescent="0.25"/>
    <row r="22" ht="35.1" customHeight="1" x14ac:dyDescent="0.25"/>
    <row r="23" ht="35.1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مفروضات</vt:lpstr>
      <vt:lpstr>درآمد</vt:lpstr>
      <vt:lpstr>بهای تمام شده</vt:lpstr>
      <vt:lpstr>سود و زیان</vt:lpstr>
      <vt:lpstr>اطلاعات تکمیلی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tahlil2</cp:lastModifiedBy>
  <dcterms:created xsi:type="dcterms:W3CDTF">2025-01-25T05:36:17Z</dcterms:created>
  <dcterms:modified xsi:type="dcterms:W3CDTF">2025-07-02T06:00:55Z</dcterms:modified>
</cp:coreProperties>
</file>