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D16474-14F1-435D-A051-6072A847F52F}" xr6:coauthVersionLast="47" xr6:coauthVersionMax="47" xr10:uidLastSave="{00000000-0000-0000-0000-000000000000}"/>
  <bookViews>
    <workbookView xWindow="-120" yWindow="-120" windowWidth="29040" windowHeight="15840" activeTab="2" xr2:uid="{81A8E130-F218-4DF9-9AC1-141D0D13A5D4}"/>
  </bookViews>
  <sheets>
    <sheet name="مفروضات" sheetId="1" r:id="rId1"/>
    <sheet name="درآمد" sheetId="4" r:id="rId2"/>
    <sheet name="بهای تمام شده" sheetId="3" r:id="rId3"/>
    <sheet name="هزینه انرژی" sheetId="7" r:id="rId4"/>
    <sheet name="سود و زیان" sheetId="5" r:id="rId5"/>
    <sheet name="اطلاعات تکمیل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3" l="1"/>
  <c r="H79" i="4"/>
  <c r="H15" i="5"/>
  <c r="I15" i="5"/>
  <c r="G15" i="5"/>
  <c r="H89" i="3"/>
  <c r="H16" i="7"/>
  <c r="H18" i="4"/>
  <c r="H19" i="4" s="1"/>
  <c r="H52" i="4" s="1"/>
  <c r="E26" i="7"/>
  <c r="E25" i="7"/>
  <c r="E24" i="7"/>
  <c r="H59" i="3"/>
  <c r="H56" i="3"/>
  <c r="H32" i="3"/>
  <c r="H21" i="3"/>
  <c r="E26" i="3"/>
  <c r="E91" i="4"/>
  <c r="H96" i="4"/>
  <c r="E96" i="4"/>
  <c r="H91" i="4"/>
  <c r="H51" i="4"/>
  <c r="E52" i="4"/>
  <c r="E67" i="4" s="1"/>
  <c r="F52" i="4"/>
  <c r="G52" i="4"/>
  <c r="G67" i="4" s="1"/>
  <c r="G68" i="4"/>
  <c r="G64" i="4"/>
  <c r="G63" i="4"/>
  <c r="G60" i="4"/>
  <c r="G59" i="4"/>
  <c r="H70" i="4"/>
  <c r="E59" i="4"/>
  <c r="E19" i="4"/>
  <c r="E26" i="4" s="1"/>
  <c r="G91" i="4"/>
  <c r="H9" i="7" l="1"/>
  <c r="G70" i="4"/>
  <c r="G61" i="4"/>
  <c r="G65" i="4"/>
  <c r="G62" i="4"/>
  <c r="H41" i="4"/>
  <c r="H6" i="4"/>
  <c r="E25" i="4"/>
  <c r="H92" i="4"/>
  <c r="F91" i="4"/>
  <c r="H98" i="3"/>
  <c r="H97" i="3"/>
  <c r="H65" i="3"/>
  <c r="H77" i="4" l="1"/>
  <c r="H112" i="4" s="1"/>
  <c r="H87" i="4"/>
  <c r="H57" i="3"/>
  <c r="G50" i="3"/>
  <c r="H37" i="3"/>
  <c r="H36" i="3"/>
  <c r="H35" i="3"/>
  <c r="G26" i="3"/>
  <c r="G14" i="3"/>
  <c r="F14" i="3"/>
  <c r="F26" i="3" s="1"/>
  <c r="E14" i="3"/>
  <c r="G11" i="3"/>
  <c r="E11" i="3"/>
  <c r="H26" i="3" l="1"/>
  <c r="F13" i="3"/>
  <c r="E12" i="3"/>
  <c r="E25" i="3" s="1"/>
  <c r="G123" i="4"/>
  <c r="F123" i="4"/>
  <c r="E123" i="4"/>
  <c r="G105" i="4"/>
  <c r="G106" i="4"/>
  <c r="G104" i="4"/>
  <c r="G97" i="4"/>
  <c r="G98" i="4"/>
  <c r="G99" i="4"/>
  <c r="G100" i="4"/>
  <c r="G101" i="4"/>
  <c r="G102" i="4"/>
  <c r="G96" i="4"/>
  <c r="F105" i="4"/>
  <c r="F106" i="4"/>
  <c r="F104" i="4"/>
  <c r="E105" i="4"/>
  <c r="E106" i="4"/>
  <c r="E104" i="4"/>
  <c r="E97" i="4"/>
  <c r="H97" i="4" s="1"/>
  <c r="F102" i="4"/>
  <c r="F101" i="4"/>
  <c r="F100" i="4"/>
  <c r="F99" i="4"/>
  <c r="F98" i="4"/>
  <c r="F97" i="4"/>
  <c r="F96" i="4"/>
  <c r="E100" i="4"/>
  <c r="E99" i="4"/>
  <c r="E98" i="4"/>
  <c r="E101" i="4"/>
  <c r="E102" i="4"/>
  <c r="H102" i="4" s="1"/>
  <c r="E23" i="3" l="1"/>
  <c r="E24" i="3"/>
  <c r="F22" i="3"/>
  <c r="H101" i="4"/>
  <c r="H98" i="4"/>
  <c r="H100" i="4"/>
  <c r="H99" i="4"/>
  <c r="G19" i="4" l="1"/>
  <c r="F19" i="4"/>
  <c r="G5" i="1"/>
  <c r="H33" i="3"/>
  <c r="H18" i="7"/>
  <c r="H73" i="3"/>
  <c r="H74" i="3"/>
  <c r="H75" i="3"/>
  <c r="H76" i="3"/>
  <c r="H77" i="3"/>
  <c r="H78" i="3"/>
  <c r="H79" i="3"/>
  <c r="H80" i="3"/>
  <c r="H81" i="3"/>
  <c r="H72" i="3"/>
  <c r="H60" i="3"/>
  <c r="H61" i="3"/>
  <c r="H62" i="3"/>
  <c r="H63" i="3"/>
  <c r="H64" i="3"/>
  <c r="H34" i="3"/>
  <c r="F9" i="7"/>
  <c r="F26" i="7" s="1"/>
  <c r="G9" i="7"/>
  <c r="G26" i="7" s="1"/>
  <c r="E9" i="7"/>
  <c r="G35" i="7"/>
  <c r="F35" i="7"/>
  <c r="E35" i="7"/>
  <c r="G101" i="3"/>
  <c r="E101" i="3"/>
  <c r="G12" i="3"/>
  <c r="F12" i="3"/>
  <c r="F21" i="3" l="1"/>
  <c r="F25" i="3"/>
  <c r="F24" i="3"/>
  <c r="F23" i="3"/>
  <c r="G23" i="3"/>
  <c r="G21" i="3"/>
  <c r="G25" i="3"/>
  <c r="G24" i="3"/>
  <c r="G32" i="4"/>
  <c r="G29" i="4"/>
  <c r="G26" i="4"/>
  <c r="G33" i="4"/>
  <c r="G27" i="4"/>
  <c r="G31" i="4"/>
  <c r="G34" i="4"/>
  <c r="G28" i="4"/>
  <c r="G25" i="4"/>
  <c r="G30" i="4"/>
  <c r="E32" i="4"/>
  <c r="E29" i="4"/>
  <c r="E33" i="4"/>
  <c r="E31" i="4"/>
  <c r="E34" i="4"/>
  <c r="E28" i="4"/>
  <c r="E27" i="4"/>
  <c r="E30" i="4"/>
  <c r="F33" i="4"/>
  <c r="F30" i="4"/>
  <c r="F29" i="4"/>
  <c r="F34" i="4"/>
  <c r="F25" i="4"/>
  <c r="F32" i="4"/>
  <c r="F27" i="4"/>
  <c r="F31" i="4"/>
  <c r="F28" i="4"/>
  <c r="F26" i="4"/>
  <c r="E20" i="4"/>
  <c r="F25" i="7"/>
  <c r="G25" i="7"/>
  <c r="H82" i="3"/>
  <c r="F6" i="5" s="1"/>
  <c r="F101" i="3"/>
  <c r="H83" i="4" l="1"/>
  <c r="H23" i="3"/>
  <c r="H24" i="3"/>
  <c r="H78" i="4"/>
  <c r="H81" i="4"/>
  <c r="H85" i="4"/>
  <c r="H86" i="4"/>
  <c r="H82" i="4"/>
  <c r="H80" i="4"/>
  <c r="E13" i="3"/>
  <c r="F20" i="4"/>
  <c r="G13" i="3"/>
  <c r="G20" i="4"/>
  <c r="H20" i="4" s="1"/>
  <c r="G10" i="7"/>
  <c r="G24" i="7" s="1"/>
  <c r="E8" i="7"/>
  <c r="G8" i="7"/>
  <c r="F8" i="7"/>
  <c r="G22" i="3" l="1"/>
  <c r="E22" i="3"/>
  <c r="G69" i="4"/>
  <c r="E15" i="3"/>
  <c r="E62" i="4"/>
  <c r="E65" i="4"/>
  <c r="E63" i="4"/>
  <c r="E68" i="4"/>
  <c r="E60" i="4"/>
  <c r="E64" i="4"/>
  <c r="E69" i="4"/>
  <c r="E61" i="4"/>
  <c r="F68" i="4"/>
  <c r="F61" i="4"/>
  <c r="F65" i="4"/>
  <c r="F69" i="4"/>
  <c r="F62" i="4"/>
  <c r="F59" i="4"/>
  <c r="F70" i="4" s="1"/>
  <c r="F67" i="4"/>
  <c r="F63" i="4"/>
  <c r="F60" i="4"/>
  <c r="F64" i="4"/>
  <c r="E70" i="4" l="1"/>
  <c r="H22" i="3"/>
  <c r="E82" i="3"/>
  <c r="F82" i="3"/>
  <c r="E66" i="3"/>
  <c r="F66" i="3"/>
  <c r="G82" i="3"/>
  <c r="G66" i="3"/>
  <c r="E50" i="3"/>
  <c r="F50" i="3"/>
  <c r="F11" i="3" l="1"/>
  <c r="F15" i="3"/>
  <c r="F10" i="7" l="1"/>
  <c r="E10" i="7"/>
  <c r="F24" i="7" l="1"/>
  <c r="G15" i="3"/>
  <c r="H9" i="4" l="1"/>
  <c r="H11" i="4"/>
  <c r="H13" i="3"/>
  <c r="H14" i="4"/>
  <c r="H8" i="4"/>
  <c r="H12" i="4"/>
  <c r="H10" i="4"/>
  <c r="H7" i="4"/>
  <c r="H10" i="7"/>
  <c r="H5" i="7" s="1"/>
  <c r="H15" i="4"/>
  <c r="H12" i="3"/>
  <c r="H5" i="3" s="1"/>
  <c r="H44" i="3" s="1"/>
  <c r="H6" i="7" l="1"/>
  <c r="H33" i="7" s="1"/>
  <c r="H7" i="7"/>
  <c r="H34" i="7" s="1"/>
  <c r="H6" i="3"/>
  <c r="H45" i="3" s="1"/>
  <c r="H14" i="3"/>
  <c r="H10" i="3" s="1"/>
  <c r="H49" i="3" s="1"/>
  <c r="H7" i="3"/>
  <c r="H46" i="3" s="1"/>
  <c r="H9" i="3"/>
  <c r="H48" i="3" s="1"/>
  <c r="H8" i="3"/>
  <c r="H47" i="3" s="1"/>
  <c r="H45" i="4"/>
  <c r="H116" i="4" s="1"/>
  <c r="H50" i="4"/>
  <c r="H121" i="4" s="1"/>
  <c r="H42" i="4"/>
  <c r="H113" i="4" s="1"/>
  <c r="H49" i="4"/>
  <c r="H120" i="4" s="1"/>
  <c r="H15" i="3"/>
  <c r="H44" i="4"/>
  <c r="H115" i="4" s="1"/>
  <c r="H47" i="4"/>
  <c r="H118" i="4" s="1"/>
  <c r="H122" i="4"/>
  <c r="H43" i="4"/>
  <c r="H114" i="4" s="1"/>
  <c r="H46" i="4"/>
  <c r="H117" i="4" s="1"/>
  <c r="H32" i="7" l="1"/>
  <c r="H35" i="7" s="1"/>
  <c r="H58" i="3" s="1"/>
  <c r="H8" i="7"/>
  <c r="H50" i="3"/>
  <c r="H88" i="3" s="1"/>
  <c r="H11" i="3"/>
  <c r="H123" i="4"/>
  <c r="F3" i="5" s="1"/>
  <c r="H66" i="3" l="1"/>
  <c r="H90" i="3" l="1"/>
  <c r="H91" i="3" s="1"/>
  <c r="H93" i="3" s="1"/>
  <c r="H96" i="3" s="1"/>
  <c r="H99" i="3" l="1"/>
  <c r="H101" i="3" s="1"/>
  <c r="F4" i="5" s="1"/>
  <c r="F5" i="5" s="1"/>
  <c r="F10" i="5" s="1"/>
  <c r="F13" i="5" s="1"/>
  <c r="F15" i="5" l="1"/>
  <c r="F17" i="5" s="1"/>
  <c r="F20" i="5" s="1"/>
  <c r="F21" i="5" l="1"/>
  <c r="E13" i="1"/>
  <c r="H5" i="1" s="1"/>
</calcChain>
</file>

<file path=xl/sharedStrings.xml><?xml version="1.0" encoding="utf-8"?>
<sst xmlns="http://schemas.openxmlformats.org/spreadsheetml/2006/main" count="380" uniqueCount="135">
  <si>
    <t>مقدار تولید</t>
  </si>
  <si>
    <t>شرح</t>
  </si>
  <si>
    <t>واحد</t>
  </si>
  <si>
    <t>تن</t>
  </si>
  <si>
    <t>جمع کل</t>
  </si>
  <si>
    <t>نسبت تولید به کل تولید</t>
  </si>
  <si>
    <t>ریال</t>
  </si>
  <si>
    <t>مقدار تولید - داخلی</t>
  </si>
  <si>
    <t>مقدار تولید - صادراتی</t>
  </si>
  <si>
    <t>نسبت فروش  به کل فروش - داخلی</t>
  </si>
  <si>
    <t>مبلغ فروش - داخلی</t>
  </si>
  <si>
    <t>نسبت فروش  به کل فروش - صادراتی</t>
  </si>
  <si>
    <t>نرخ فروش - داخلی</t>
  </si>
  <si>
    <t>نرخ فروش - صادراتی</t>
  </si>
  <si>
    <t>مقدار فروش (تعداد) - داخلی</t>
  </si>
  <si>
    <t>مقدار فروش (تعداد) - صادراتی</t>
  </si>
  <si>
    <t>مبلغ فروش - صادراتی</t>
  </si>
  <si>
    <t>دلار</t>
  </si>
  <si>
    <t>مقدار مصرف مواد اولیه</t>
  </si>
  <si>
    <t>جمع فروش</t>
  </si>
  <si>
    <t>ضریب مصرف</t>
  </si>
  <si>
    <t>نرخ  مواد اولیه</t>
  </si>
  <si>
    <t>مبلغ  مواد مصرفی</t>
  </si>
  <si>
    <t>جمع</t>
  </si>
  <si>
    <t>سربار</t>
  </si>
  <si>
    <t>هزینه های اداری و عمومی و فروش</t>
  </si>
  <si>
    <t>بهای تمام شده کالای فروش رفته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</si>
  <si>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</si>
  <si>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</si>
  <si>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</si>
  <si>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</si>
  <si>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</si>
  <si>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</si>
  <si>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</si>
  <si>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</si>
  <si>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</si>
  <si>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سایر درآمدها و هزینه‌های غیرعملیاتی- درآمد سرمایه‌گذاری‌ها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</si>
  <si>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</si>
  <si>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</si>
  <si>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</si>
  <si>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</si>
  <si>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</si>
  <si>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</si>
  <si>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</si>
  <si>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</si>
  <si>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سود (زيان) پايه هر سهم</t>
  </si>
  <si>
    <t>سرمایه</t>
  </si>
  <si>
    <t>مفروضات تحلیل حساسیت</t>
  </si>
  <si>
    <t>برآورد سود خالص</t>
  </si>
  <si>
    <t>مجموعه آموزشی رز</t>
  </si>
  <si>
    <t>سود خالص</t>
  </si>
  <si>
    <t>اطلاعات تکمیلی</t>
  </si>
  <si>
    <t>ردیف</t>
  </si>
  <si>
    <t>مقدار فروش (تعداد)</t>
  </si>
  <si>
    <t>نسبت فروش  به کل فروش</t>
  </si>
  <si>
    <t>مبلغ فروش</t>
  </si>
  <si>
    <t>نرخ فروش</t>
  </si>
  <si>
    <t>دوره منتهي به 1401/12/29</t>
  </si>
  <si>
    <t>دوره منتهي به 1402/12/29</t>
  </si>
  <si>
    <t>دوره منتهي به 1403/12/29</t>
  </si>
  <si>
    <t>مقدار کل برق و گاز مصرفی</t>
  </si>
  <si>
    <t>نرخ</t>
  </si>
  <si>
    <t>مقدار مصرف - مبلغ</t>
  </si>
  <si>
    <t>درصد</t>
  </si>
  <si>
    <t>سنگ آهک</t>
  </si>
  <si>
    <t>میلیون ریال</t>
  </si>
  <si>
    <t>هزینه حقوق و دستمزد</t>
  </si>
  <si>
    <t>هزینه استهلاک</t>
  </si>
  <si>
    <t>هزینه انرژی (آب، برق، گاز و سوخت)</t>
  </si>
  <si>
    <t>هزینه مواد مصرفی</t>
  </si>
  <si>
    <t>هزینه تبلیغات</t>
  </si>
  <si>
    <t>حق العمل و کمیسیون فروش</t>
  </si>
  <si>
    <t>هزینه خدمات پس از فروش</t>
  </si>
  <si>
    <t>هزینه مطالبات مشکوک الوصول</t>
  </si>
  <si>
    <t>هزینه حمل و نقل و انتقال</t>
  </si>
  <si>
    <t>سایر هزینه ها</t>
  </si>
  <si>
    <t>مواد مستقیم مصرفی</t>
  </si>
  <si>
    <t>دستمزدمستقيم توليد</t>
  </si>
  <si>
    <t>سربارتوليد</t>
  </si>
  <si>
    <t>هزينه جذب نشده درتوليد</t>
  </si>
  <si>
    <t>جمع هزينه هاي توليد</t>
  </si>
  <si>
    <t>خالص موجودی كالاي درجريان ساخت</t>
  </si>
  <si>
    <t>ضايعات غيرعادي</t>
  </si>
  <si>
    <t>بهاي تمام شده كالاي تولید شده</t>
  </si>
  <si>
    <t>موجودي كالاي ساخته شده اول دوره</t>
  </si>
  <si>
    <t>موجودي كالاي ساخته شده پايان دوره</t>
  </si>
  <si>
    <t>بهاي تمام شده كالاي فروش رفته</t>
  </si>
  <si>
    <t>بهاي تمام شده خدمات ارایه شده</t>
  </si>
  <si>
    <t>کل تولید سیمان</t>
  </si>
  <si>
    <t>نسبت استفاده گچ در تولید سیمان</t>
  </si>
  <si>
    <t>تولید کلینکر</t>
  </si>
  <si>
    <t>نسبت کلینکر به سیمان</t>
  </si>
  <si>
    <t>مقدار تولید کلینکر</t>
  </si>
  <si>
    <t>سیمان بورس کالا</t>
  </si>
  <si>
    <t>ضریب رشد 1404 به 1403 برای انرژی</t>
  </si>
  <si>
    <t xml:space="preserve">نرخ  دلار </t>
  </si>
  <si>
    <t>نرخ دلاری سیمان</t>
  </si>
  <si>
    <t>نرخ تسعیر</t>
  </si>
  <si>
    <t>تومان</t>
  </si>
  <si>
    <t>ضریب نرخ فروش</t>
  </si>
  <si>
    <t>جمع تولید سیمان</t>
  </si>
  <si>
    <t>جمع تولید کلینکر</t>
  </si>
  <si>
    <t>برق</t>
  </si>
  <si>
    <t>گاز طبیعی</t>
  </si>
  <si>
    <t>مازوت</t>
  </si>
  <si>
    <t>مگاوات ساعت</t>
  </si>
  <si>
    <t>متر مکعب</t>
  </si>
  <si>
    <t>گاز</t>
  </si>
  <si>
    <t>دوره منتهي به 1404/12/29</t>
  </si>
  <si>
    <t>جمع مبلغ</t>
  </si>
  <si>
    <t xml:space="preserve">ضریب رشد 1404 به 1403 </t>
  </si>
  <si>
    <t>قیمت دلاری سیمان</t>
  </si>
  <si>
    <t xml:space="preserve">ارزش بازار </t>
  </si>
  <si>
    <t>کلینکر</t>
  </si>
  <si>
    <t>تیپ 2 فله ای</t>
  </si>
  <si>
    <t>تیپ 2  پاکتی</t>
  </si>
  <si>
    <t>تیپ 1-425 فله ای</t>
  </si>
  <si>
    <t>تیپ 1-425 پاکتی</t>
  </si>
  <si>
    <t>سیمان مرکب پاکتی</t>
  </si>
  <si>
    <t>سیمان آهکی پاکتی</t>
  </si>
  <si>
    <t xml:space="preserve">سیمالن مرکب فله ای </t>
  </si>
  <si>
    <t>کلينکر صادراتي</t>
  </si>
  <si>
    <t>سيمان تيپ 1-425 پاکتي صادراتي</t>
  </si>
  <si>
    <t>سيمان تيپ 1-425 فله اي صادراتي</t>
  </si>
  <si>
    <t>صادراتی</t>
  </si>
  <si>
    <t xml:space="preserve">ضریب نرخ فروش صادراتی </t>
  </si>
  <si>
    <t>سنگ گچ</t>
  </si>
  <si>
    <t>سنگ آهن</t>
  </si>
  <si>
    <t>سایر موارد</t>
  </si>
  <si>
    <t>پاکت سیمان</t>
  </si>
  <si>
    <t>جمع تولید سیمان پاکتی</t>
  </si>
  <si>
    <t>تعداد</t>
  </si>
  <si>
    <t>تحلیل حساسیت سصوفی</t>
  </si>
  <si>
    <t>نرخ دلاری سیمان   فله تیپ 1 در بورس کالا</t>
  </si>
  <si>
    <t>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</si>
</sst>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[Red]\(0\)"/>
    <numFmt numFmtId="165" formatCode="#,##0;[Red]#,##0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3766C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43766C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E2A0"/>
        <bgColor indexed="64"/>
      </patternFill>
    </fill>
    <fill>
      <patternFill patternType="solid">
        <fgColor rgb="FF43766C"/>
        <bgColor indexed="64"/>
      </patternFill>
    </fill>
    <fill>
      <patternFill patternType="solid">
        <fgColor rgb="FFB1947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6" tint="0.39997558519241921"/>
      </left>
      <right/>
      <top style="thin">
        <color theme="2"/>
      </top>
      <bottom style="thin">
        <color theme="6" tint="0.39997558519241921"/>
      </bottom>
      <diagonal/>
    </border>
    <border>
      <left/>
      <right/>
      <top style="thin">
        <color theme="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2"/>
      </top>
      <bottom style="thin">
        <color theme="6" tint="0.3999755851924192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4506668294322"/>
      </top>
      <bottom style="thin">
        <color theme="6" tint="0.39997558519241921"/>
      </bottom>
      <diagonal/>
    </border>
    <border>
      <left/>
      <right/>
      <top style="thin">
        <color theme="6" tint="0.3999450666829432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4506668294322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3" fontId="0" fillId="0" borderId="0" xfId="0" applyNumberFormat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 shrinkToFit="1"/>
    </xf>
    <xf numFmtId="38" fontId="4" fillId="2" borderId="6" xfId="1" applyNumberFormat="1" applyFont="1" applyFill="1" applyBorder="1" applyAlignment="1">
      <alignment horizontal="center" vertical="center" wrapText="1" shrinkToFit="1"/>
    </xf>
    <xf numFmtId="38" fontId="4" fillId="2" borderId="7" xfId="1" applyNumberFormat="1" applyFont="1" applyFill="1" applyBorder="1" applyAlignment="1">
      <alignment horizontal="center" vertical="center" wrapText="1" shrinkToFit="1"/>
    </xf>
    <xf numFmtId="164" fontId="5" fillId="6" borderId="15" xfId="1" applyNumberFormat="1" applyFont="1" applyFill="1" applyBorder="1" applyAlignment="1">
      <alignment horizontal="center" vertical="center" wrapText="1" shrinkToFit="1"/>
    </xf>
    <xf numFmtId="38" fontId="5" fillId="6" borderId="16" xfId="1" applyNumberFormat="1" applyFont="1" applyFill="1" applyBorder="1" applyAlignment="1">
      <alignment horizontal="center" vertical="center" wrapText="1" shrinkToFit="1"/>
    </xf>
    <xf numFmtId="3" fontId="2" fillId="7" borderId="1" xfId="0" applyNumberFormat="1" applyFont="1" applyFill="1" applyBorder="1" applyAlignment="1">
      <alignment horizontal="center" vertical="center" wrapText="1"/>
    </xf>
    <xf numFmtId="3" fontId="6" fillId="7" borderId="1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3" fontId="2" fillId="7" borderId="12" xfId="0" applyNumberFormat="1" applyFont="1" applyFill="1" applyBorder="1" applyAlignment="1">
      <alignment vertical="center" wrapText="1"/>
    </xf>
    <xf numFmtId="3" fontId="2" fillId="7" borderId="18" xfId="0" applyNumberFormat="1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3" fontId="2" fillId="4" borderId="28" xfId="2" applyNumberFormat="1" applyFont="1" applyFill="1" applyBorder="1" applyAlignment="1">
      <alignment horizontal="center" vertical="center" wrapText="1"/>
    </xf>
    <xf numFmtId="3" fontId="2" fillId="4" borderId="29" xfId="2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11" fillId="7" borderId="0" xfId="0" applyNumberFormat="1" applyFont="1" applyFill="1" applyAlignment="1">
      <alignment horizontal="center" vertical="center" wrapText="1"/>
    </xf>
    <xf numFmtId="3" fontId="12" fillId="7" borderId="0" xfId="0" applyNumberFormat="1" applyFont="1" applyFill="1" applyAlignment="1">
      <alignment horizontal="center" vertical="center" wrapText="1"/>
    </xf>
    <xf numFmtId="3" fontId="9" fillId="7" borderId="30" xfId="0" applyNumberFormat="1" applyFont="1" applyFill="1" applyBorder="1" applyAlignment="1">
      <alignment vertical="center" wrapText="1"/>
    </xf>
    <xf numFmtId="3" fontId="9" fillId="7" borderId="18" xfId="0" applyNumberFormat="1" applyFont="1" applyFill="1" applyBorder="1" applyAlignment="1">
      <alignment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16" xfId="0" applyNumberFormat="1" applyFill="1" applyBorder="1" applyAlignment="1">
      <alignment horizontal="center" vertical="center" wrapText="1"/>
    </xf>
    <xf numFmtId="3" fontId="0" fillId="2" borderId="35" xfId="0" applyNumberFormat="1" applyFill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2" fillId="4" borderId="27" xfId="0" applyNumberFormat="1" applyFont="1" applyFill="1" applyBorder="1" applyAlignment="1">
      <alignment horizontal="center" vertical="center" wrapText="1"/>
    </xf>
    <xf numFmtId="3" fontId="2" fillId="4" borderId="28" xfId="0" applyNumberFormat="1" applyFont="1" applyFill="1" applyBorder="1" applyAlignment="1">
      <alignment horizontal="center" vertical="center" wrapText="1"/>
    </xf>
    <xf numFmtId="3" fontId="2" fillId="4" borderId="29" xfId="0" applyNumberFormat="1" applyFont="1" applyFill="1" applyBorder="1" applyAlignment="1">
      <alignment horizontal="center" vertical="center" wrapText="1"/>
    </xf>
    <xf numFmtId="9" fontId="0" fillId="2" borderId="16" xfId="2" applyFont="1" applyFill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9" fontId="2" fillId="4" borderId="28" xfId="2" applyFont="1" applyFill="1" applyBorder="1" applyAlignment="1">
      <alignment horizontal="center" vertical="center" wrapText="1"/>
    </xf>
    <xf numFmtId="9" fontId="2" fillId="4" borderId="29" xfId="2" applyFont="1" applyFill="1" applyBorder="1" applyAlignment="1">
      <alignment horizontal="center" vertical="center" wrapText="1"/>
    </xf>
    <xf numFmtId="3" fontId="9" fillId="8" borderId="9" xfId="0" applyNumberFormat="1" applyFont="1" applyFill="1" applyBorder="1" applyAlignment="1">
      <alignment vertical="center" wrapText="1"/>
    </xf>
    <xf numFmtId="3" fontId="9" fillId="8" borderId="10" xfId="0" applyNumberFormat="1" applyFont="1" applyFill="1" applyBorder="1" applyAlignment="1">
      <alignment vertical="center" wrapText="1"/>
    </xf>
    <xf numFmtId="164" fontId="4" fillId="2" borderId="15" xfId="1" applyNumberFormat="1" applyFont="1" applyFill="1" applyBorder="1" applyAlignment="1">
      <alignment horizontal="center" vertical="center" wrapText="1" shrinkToFit="1"/>
    </xf>
    <xf numFmtId="38" fontId="4" fillId="2" borderId="16" xfId="1" applyNumberFormat="1" applyFont="1" applyFill="1" applyBorder="1" applyAlignment="1">
      <alignment horizontal="center" vertical="center" shrinkToFit="1"/>
    </xf>
    <xf numFmtId="38" fontId="4" fillId="2" borderId="35" xfId="1" applyNumberFormat="1" applyFont="1" applyFill="1" applyBorder="1" applyAlignment="1">
      <alignment horizontal="center" vertical="center" shrinkToFit="1"/>
    </xf>
    <xf numFmtId="164" fontId="4" fillId="0" borderId="15" xfId="1" applyNumberFormat="1" applyFont="1" applyBorder="1" applyAlignment="1">
      <alignment horizontal="center" vertical="center" wrapText="1" shrinkToFit="1"/>
    </xf>
    <xf numFmtId="38" fontId="4" fillId="0" borderId="16" xfId="1" applyNumberFormat="1" applyFont="1" applyBorder="1" applyAlignment="1">
      <alignment horizontal="center" vertical="center" shrinkToFit="1"/>
    </xf>
    <xf numFmtId="38" fontId="4" fillId="0" borderId="35" xfId="1" applyNumberFormat="1" applyFont="1" applyBorder="1" applyAlignment="1">
      <alignment horizontal="center" vertical="center" shrinkToFit="1"/>
    </xf>
    <xf numFmtId="164" fontId="5" fillId="6" borderId="36" xfId="0" applyNumberFormat="1" applyFont="1" applyFill="1" applyBorder="1" applyAlignment="1">
      <alignment horizontal="center" vertical="center" wrapText="1" shrinkToFit="1"/>
    </xf>
    <xf numFmtId="38" fontId="5" fillId="6" borderId="37" xfId="0" applyNumberFormat="1" applyFont="1" applyFill="1" applyBorder="1" applyAlignment="1">
      <alignment horizontal="center" vertical="center" wrapText="1" shrinkToFit="1"/>
    </xf>
    <xf numFmtId="38" fontId="5" fillId="6" borderId="38" xfId="0" applyNumberFormat="1" applyFont="1" applyFill="1" applyBorder="1" applyAlignment="1">
      <alignment horizontal="center" vertical="center" wrapText="1" shrinkToFit="1"/>
    </xf>
    <xf numFmtId="38" fontId="4" fillId="0" borderId="16" xfId="1" applyNumberFormat="1" applyFont="1" applyBorder="1" applyAlignment="1">
      <alignment horizontal="center" vertical="center" wrapText="1" shrinkToFit="1"/>
    </xf>
    <xf numFmtId="38" fontId="4" fillId="2" borderId="16" xfId="1" applyNumberFormat="1" applyFont="1" applyFill="1" applyBorder="1" applyAlignment="1">
      <alignment horizontal="center" vertical="center" wrapText="1" shrinkToFit="1"/>
    </xf>
    <xf numFmtId="38" fontId="5" fillId="6" borderId="36" xfId="0" applyNumberFormat="1" applyFont="1" applyFill="1" applyBorder="1" applyAlignment="1">
      <alignment horizontal="center" vertical="center" wrapText="1" shrinkToFit="1"/>
    </xf>
    <xf numFmtId="38" fontId="4" fillId="0" borderId="35" xfId="1" applyNumberFormat="1" applyFont="1" applyBorder="1" applyAlignment="1">
      <alignment horizontal="center" vertical="center" wrapText="1" shrinkToFi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2" fontId="0" fillId="0" borderId="0" xfId="2" applyNumberFormat="1" applyFont="1" applyAlignment="1">
      <alignment horizontal="center" vertical="center" wrapText="1"/>
    </xf>
    <xf numFmtId="166" fontId="0" fillId="0" borderId="0" xfId="2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4" fontId="0" fillId="2" borderId="16" xfId="0" applyNumberFormat="1" applyFill="1" applyBorder="1" applyAlignment="1">
      <alignment horizontal="center" vertical="center" wrapText="1"/>
    </xf>
    <xf numFmtId="4" fontId="0" fillId="2" borderId="35" xfId="0" applyNumberFormat="1" applyFill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2" borderId="6" xfId="0" applyNumberFormat="1" applyFill="1" applyBorder="1" applyAlignment="1">
      <alignment horizontal="center" vertical="center" wrapText="1"/>
    </xf>
    <xf numFmtId="4" fontId="0" fillId="2" borderId="7" xfId="0" applyNumberFormat="1" applyFill="1" applyBorder="1" applyAlignment="1">
      <alignment horizontal="center" vertical="center" wrapText="1"/>
    </xf>
    <xf numFmtId="9" fontId="3" fillId="5" borderId="1" xfId="2" applyFont="1" applyFill="1" applyBorder="1" applyAlignment="1">
      <alignment horizontal="center" vertical="center"/>
    </xf>
    <xf numFmtId="3" fontId="9" fillId="8" borderId="8" xfId="0" applyNumberFormat="1" applyFont="1" applyFill="1" applyBorder="1" applyAlignment="1">
      <alignment horizontal="center" vertical="center" wrapText="1"/>
    </xf>
    <xf numFmtId="166" fontId="0" fillId="0" borderId="16" xfId="2" applyNumberFormat="1" applyFont="1" applyBorder="1" applyAlignment="1">
      <alignment horizontal="center" vertical="center" wrapText="1"/>
    </xf>
    <xf numFmtId="166" fontId="0" fillId="2" borderId="16" xfId="2" applyNumberFormat="1" applyFont="1" applyFill="1" applyBorder="1" applyAlignment="1">
      <alignment horizontal="center" vertical="center" wrapText="1"/>
    </xf>
    <xf numFmtId="3" fontId="0" fillId="2" borderId="40" xfId="0" applyNumberFormat="1" applyFill="1" applyBorder="1" applyAlignment="1">
      <alignment horizontal="center" vertical="center" wrapText="1"/>
    </xf>
    <xf numFmtId="1" fontId="0" fillId="2" borderId="16" xfId="2" applyNumberFormat="1" applyFont="1" applyFill="1" applyBorder="1" applyAlignment="1">
      <alignment horizontal="center" vertical="center" wrapText="1"/>
    </xf>
    <xf numFmtId="9" fontId="14" fillId="0" borderId="0" xfId="2" applyFont="1" applyAlignment="1">
      <alignment horizontal="center" vertical="center" wrapText="1"/>
    </xf>
    <xf numFmtId="3" fontId="7" fillId="7" borderId="17" xfId="0" applyNumberFormat="1" applyFont="1" applyFill="1" applyBorder="1" applyAlignment="1">
      <alignment horizontal="center" vertical="center" textRotation="90" wrapText="1"/>
    </xf>
    <xf numFmtId="3" fontId="7" fillId="7" borderId="14" xfId="0" applyNumberFormat="1" applyFont="1" applyFill="1" applyBorder="1" applyAlignment="1">
      <alignment horizontal="center" vertical="center" textRotation="90" wrapText="1"/>
    </xf>
    <xf numFmtId="3" fontId="7" fillId="7" borderId="13" xfId="0" applyNumberFormat="1" applyFont="1" applyFill="1" applyBorder="1" applyAlignment="1">
      <alignment horizontal="center" vertical="center" textRotation="90" wrapText="1"/>
    </xf>
    <xf numFmtId="3" fontId="7" fillId="7" borderId="2" xfId="0" applyNumberFormat="1" applyFont="1" applyFill="1" applyBorder="1" applyAlignment="1">
      <alignment horizontal="center" vertical="center" wrapText="1"/>
    </xf>
    <xf numFmtId="3" fontId="7" fillId="7" borderId="3" xfId="0" applyNumberFormat="1" applyFont="1" applyFill="1" applyBorder="1" applyAlignment="1">
      <alignment horizontal="center" vertical="center" wrapText="1"/>
    </xf>
    <xf numFmtId="3" fontId="7" fillId="7" borderId="4" xfId="0" applyNumberFormat="1" applyFont="1" applyFill="1" applyBorder="1" applyAlignment="1">
      <alignment horizontal="center" vertical="center" wrapText="1"/>
    </xf>
    <xf numFmtId="3" fontId="7" fillId="7" borderId="0" xfId="0" applyNumberFormat="1" applyFont="1" applyFill="1" applyAlignment="1">
      <alignment horizontal="center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3" fontId="8" fillId="7" borderId="3" xfId="0" applyNumberFormat="1" applyFont="1" applyFill="1" applyBorder="1" applyAlignment="1">
      <alignment horizontal="center" vertical="center" wrapText="1"/>
    </xf>
    <xf numFmtId="3" fontId="8" fillId="7" borderId="4" xfId="0" applyNumberFormat="1" applyFont="1" applyFill="1" applyBorder="1" applyAlignment="1">
      <alignment horizontal="center" vertical="center" wrapText="1"/>
    </xf>
    <xf numFmtId="3" fontId="9" fillId="8" borderId="8" xfId="0" applyNumberFormat="1" applyFont="1" applyFill="1" applyBorder="1" applyAlignment="1">
      <alignment horizontal="center" vertical="center" wrapText="1"/>
    </xf>
    <xf numFmtId="3" fontId="9" fillId="8" borderId="9" xfId="0" applyNumberFormat="1" applyFont="1" applyFill="1" applyBorder="1" applyAlignment="1">
      <alignment horizontal="center" vertical="center" wrapText="1"/>
    </xf>
    <xf numFmtId="3" fontId="9" fillId="7" borderId="12" xfId="0" applyNumberFormat="1" applyFont="1" applyFill="1" applyBorder="1" applyAlignment="1">
      <alignment horizontal="center" vertical="center" wrapText="1"/>
    </xf>
    <xf numFmtId="3" fontId="9" fillId="7" borderId="30" xfId="0" applyNumberFormat="1" applyFont="1" applyFill="1" applyBorder="1" applyAlignment="1">
      <alignment horizontal="center" vertical="center" wrapText="1"/>
    </xf>
    <xf numFmtId="3" fontId="2" fillId="3" borderId="39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4">
    <dxf>
      <numFmt numFmtId="3" formatCode="#,##0"/>
      <alignment horizontal="right" vertical="center" textRotation="0" wrapText="1" relativeIndent="1" justifyLastLine="0" shrinkToFit="0" readingOrder="0"/>
      <border outline="0">
        <left style="thin">
          <color theme="2" tint="-9.9948118533890809E-2"/>
        </left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2" tint="-9.9948118533890809E-2"/>
        </right>
        <top/>
        <bottom/>
      </border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solid">
          <fgColor indexed="64"/>
          <bgColor rgb="FF43766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9FF78"/>
      <color rgb="FFFF5D5D"/>
      <color rgb="FFFF7979"/>
      <color rgb="FF43766C"/>
      <color rgb="FFB19470"/>
      <color rgb="FFF2F2F2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57150</xdr:rowOff>
    </xdr:from>
    <xdr:to>
      <xdr:col>2</xdr:col>
      <xdr:colOff>504825</xdr:colOff>
      <xdr:row>2</xdr:row>
      <xdr:rowOff>447674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B1437D-69A7-59E7-B982-0612A6A5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24750" y="561975"/>
          <a:ext cx="390524" cy="390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322EB34-1B09-497E-B448-5E9A729272CC}" name="Table28" displayName="Table28" ref="B2:C12" totalsRowShown="0" headerRowDxfId="3" dataDxfId="2">
  <autoFilter ref="B2:C12" xr:uid="{2322EB34-1B09-497E-B448-5E9A729272CC}"/>
  <tableColumns count="2">
    <tableColumn id="1" xr3:uid="{4A19357B-0EEE-4468-9481-8BA213970C10}" name="ردیف" dataDxfId="1">
      <calculatedColumnFormula>IF(Table28[[#This Row],[اطلاعات تکمیلی]]="","",ROW()-2)</calculatedColumnFormula>
    </tableColumn>
    <tableColumn id="2" xr3:uid="{3AFDBDFB-4344-4BF2-BD74-FF8FE0B5205F}" name="اطلاعات تکمیلی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82A5-FBAF-4E00-8989-0626A9526FC2}">
  <dimension ref="B2:R14"/>
  <sheetViews>
    <sheetView showGridLines="0" rightToLeft="1" zoomScaleNormal="100" workbookViewId="0">
      <selection activeCell="G16" sqref="G16"/>
    </sheetView>
  </sheetViews>
  <sheetFormatPr defaultRowHeight="30" customHeight="1" x14ac:dyDescent="0.25"/>
  <cols>
    <col min="1" max="1" width="5.7109375" style="1" customWidth="1"/>
    <col min="2" max="2" width="1.7109375" style="1" customWidth="1"/>
    <col min="3" max="3" width="28.140625" style="1" customWidth="1"/>
    <col min="4" max="4" width="9.140625" style="1"/>
    <col min="5" max="5" width="16.7109375" style="1" customWidth="1"/>
    <col min="6" max="6" width="1.7109375" style="1" customWidth="1"/>
    <col min="7" max="7" width="9.140625" style="1"/>
    <col min="8" max="8" width="12.7109375" style="1" customWidth="1"/>
    <col min="9" max="17" width="13.7109375" style="1" customWidth="1"/>
    <col min="18" max="18" width="1.7109375" style="1" customWidth="1"/>
    <col min="19" max="16384" width="9.140625" style="1"/>
  </cols>
  <sheetData>
    <row r="2" spans="2:18" ht="9.9499999999999993" customHeight="1" x14ac:dyDescent="0.2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8"/>
    </row>
    <row r="3" spans="2:18" ht="39.950000000000003" customHeight="1" x14ac:dyDescent="0.25">
      <c r="B3" s="19"/>
      <c r="C3" s="101" t="s">
        <v>49</v>
      </c>
      <c r="D3" s="101"/>
      <c r="E3" s="101"/>
      <c r="G3" s="98" t="s">
        <v>132</v>
      </c>
      <c r="H3" s="99"/>
      <c r="I3" s="99"/>
      <c r="J3" s="99"/>
      <c r="K3" s="99"/>
      <c r="L3" s="99"/>
      <c r="M3" s="99"/>
      <c r="N3" s="99"/>
      <c r="O3" s="99"/>
      <c r="P3" s="99"/>
      <c r="Q3" s="100"/>
      <c r="R3" s="20"/>
    </row>
    <row r="4" spans="2:18" ht="39.950000000000003" customHeight="1" x14ac:dyDescent="0.25">
      <c r="B4" s="19"/>
      <c r="C4" s="102" t="s">
        <v>47</v>
      </c>
      <c r="D4" s="103"/>
      <c r="E4" s="104"/>
      <c r="G4" s="12"/>
      <c r="H4" s="13"/>
      <c r="I4" s="98" t="s">
        <v>111</v>
      </c>
      <c r="J4" s="99"/>
      <c r="K4" s="99"/>
      <c r="L4" s="99"/>
      <c r="M4" s="99"/>
      <c r="N4" s="99"/>
      <c r="O4" s="99"/>
      <c r="P4" s="99"/>
      <c r="Q4" s="100"/>
      <c r="R4" s="20"/>
    </row>
    <row r="5" spans="2:18" ht="35.1" customHeight="1" x14ac:dyDescent="0.25">
      <c r="B5" s="19"/>
      <c r="C5" s="11" t="s">
        <v>1</v>
      </c>
      <c r="D5" s="11" t="s">
        <v>2</v>
      </c>
      <c r="E5" s="15" t="s">
        <v>134</v>
      </c>
      <c r="G5" s="8" t="str">
        <f>D13</f>
        <v>ریال</v>
      </c>
      <c r="H5" s="29">
        <f>E13</f>
        <v>22519259.263913523</v>
      </c>
      <c r="I5" s="7">
        <v>22</v>
      </c>
      <c r="J5" s="7">
        <v>24</v>
      </c>
      <c r="K5" s="7">
        <v>26</v>
      </c>
      <c r="L5" s="7">
        <v>28</v>
      </c>
      <c r="M5" s="7">
        <v>30</v>
      </c>
      <c r="N5" s="7">
        <v>32</v>
      </c>
      <c r="O5" s="7">
        <v>34</v>
      </c>
      <c r="P5" s="7">
        <v>36</v>
      </c>
      <c r="Q5" s="7">
        <v>38</v>
      </c>
      <c r="R5" s="20"/>
    </row>
    <row r="6" spans="2:18" ht="35.1" customHeight="1" x14ac:dyDescent="0.25">
      <c r="B6" s="19"/>
      <c r="C6" s="9" t="s">
        <v>92</v>
      </c>
      <c r="D6" s="9" t="s">
        <v>3</v>
      </c>
      <c r="E6" s="10">
        <v>1855000</v>
      </c>
      <c r="G6" s="95" t="s">
        <v>90</v>
      </c>
      <c r="H6" s="7">
        <v>1500000</v>
      </c>
      <c r="I6" s="14">
        <f t="dataTable" ref="I6:Q13" dt2D="1" dtr="1" r1="E7" r2="E6"/>
        <v>4822049.4303748384</v>
      </c>
      <c r="J6" s="14">
        <v>7071486.757994879</v>
      </c>
      <c r="K6" s="14">
        <v>9320924.0856149159</v>
      </c>
      <c r="L6" s="14">
        <v>11570361.413234971</v>
      </c>
      <c r="M6" s="14">
        <v>13819798.740855012</v>
      </c>
      <c r="N6" s="14">
        <v>16069236.06847506</v>
      </c>
      <c r="O6" s="14">
        <v>18318673.396095086</v>
      </c>
      <c r="P6" s="14">
        <v>20568110.723715141</v>
      </c>
      <c r="Q6" s="14">
        <v>22817548.051335182</v>
      </c>
      <c r="R6" s="20"/>
    </row>
    <row r="7" spans="2:18" ht="35.1" customHeight="1" x14ac:dyDescent="0.25">
      <c r="B7" s="19"/>
      <c r="C7" s="9" t="s">
        <v>93</v>
      </c>
      <c r="D7" s="9" t="s">
        <v>17</v>
      </c>
      <c r="E7" s="10">
        <v>32</v>
      </c>
      <c r="G7" s="96"/>
      <c r="H7" s="7">
        <v>1600000</v>
      </c>
      <c r="I7" s="14">
        <v>5882576.5591482045</v>
      </c>
      <c r="J7" s="14">
        <v>8283290.0494889775</v>
      </c>
      <c r="K7" s="14">
        <v>10684003.539829757</v>
      </c>
      <c r="L7" s="14">
        <v>13084717.030170532</v>
      </c>
      <c r="M7" s="14">
        <v>15485430.520511305</v>
      </c>
      <c r="N7" s="14">
        <v>17886144.010852087</v>
      </c>
      <c r="O7" s="14">
        <v>20286857.501192868</v>
      </c>
      <c r="P7" s="14">
        <v>22687570.991533641</v>
      </c>
      <c r="Q7" s="14">
        <v>25088284.481874414</v>
      </c>
      <c r="R7" s="20"/>
    </row>
    <row r="8" spans="2:18" ht="35.1" customHeight="1" x14ac:dyDescent="0.25">
      <c r="B8" s="19"/>
      <c r="C8" s="9" t="s">
        <v>95</v>
      </c>
      <c r="D8" s="9" t="s">
        <v>6</v>
      </c>
      <c r="E8" s="10">
        <v>700000</v>
      </c>
      <c r="G8" s="96"/>
      <c r="H8" s="7">
        <v>1700000</v>
      </c>
      <c r="I8" s="14">
        <v>6943103.6879215669</v>
      </c>
      <c r="J8" s="14">
        <v>9495093.340983076</v>
      </c>
      <c r="K8" s="14">
        <v>12047082.994044585</v>
      </c>
      <c r="L8" s="14">
        <v>14599072.6471061</v>
      </c>
      <c r="M8" s="14">
        <v>17151062.300167605</v>
      </c>
      <c r="N8" s="14">
        <v>19703051.953229118</v>
      </c>
      <c r="O8" s="14">
        <v>22255041.606290624</v>
      </c>
      <c r="P8" s="14">
        <v>24807031.25935214</v>
      </c>
      <c r="Q8" s="14">
        <v>27359020.912413646</v>
      </c>
      <c r="R8" s="20"/>
    </row>
    <row r="9" spans="2:18" ht="35.1" customHeight="1" x14ac:dyDescent="0.25">
      <c r="B9" s="19"/>
      <c r="C9" s="9" t="s">
        <v>94</v>
      </c>
      <c r="D9" s="9" t="s">
        <v>63</v>
      </c>
      <c r="E9" s="88">
        <v>0.5</v>
      </c>
      <c r="G9" s="96"/>
      <c r="H9" s="7">
        <v>1800000</v>
      </c>
      <c r="I9" s="14">
        <v>8003630.8166949321</v>
      </c>
      <c r="J9" s="14">
        <v>10706896.632477175</v>
      </c>
      <c r="K9" s="14">
        <v>13410162.448259421</v>
      </c>
      <c r="L9" s="14">
        <v>16113428.26404166</v>
      </c>
      <c r="M9" s="14">
        <v>18816694.0798239</v>
      </c>
      <c r="N9" s="14">
        <v>21519959.895606153</v>
      </c>
      <c r="O9" s="14">
        <v>24223225.711388398</v>
      </c>
      <c r="P9" s="14">
        <v>26926491.527170636</v>
      </c>
      <c r="Q9" s="14">
        <v>29629757.342952881</v>
      </c>
      <c r="R9" s="20"/>
    </row>
    <row r="10" spans="2:18" ht="35.1" customHeight="1" x14ac:dyDescent="0.25">
      <c r="B10" s="19"/>
      <c r="C10" s="9" t="s">
        <v>110</v>
      </c>
      <c r="D10" s="9" t="s">
        <v>63</v>
      </c>
      <c r="E10" s="88">
        <v>0.4</v>
      </c>
      <c r="G10" s="96"/>
      <c r="H10" s="7">
        <v>1900000</v>
      </c>
      <c r="I10" s="14">
        <v>9064157.9454682991</v>
      </c>
      <c r="J10" s="14">
        <v>11918699.923971271</v>
      </c>
      <c r="K10" s="14">
        <v>14773241.902474249</v>
      </c>
      <c r="L10" s="14">
        <v>17627783.880977228</v>
      </c>
      <c r="M10" s="14">
        <v>20482325.859480198</v>
      </c>
      <c r="N10" s="14">
        <v>23336867.837983184</v>
      </c>
      <c r="O10" s="14">
        <v>26191409.816486157</v>
      </c>
      <c r="P10" s="14">
        <v>29045951.794989135</v>
      </c>
      <c r="Q10" s="14">
        <v>31900493.773492113</v>
      </c>
      <c r="R10" s="20"/>
    </row>
    <row r="11" spans="2:18" ht="35.1" customHeight="1" x14ac:dyDescent="0.25">
      <c r="B11" s="19"/>
      <c r="C11" s="9" t="s">
        <v>112</v>
      </c>
      <c r="D11" s="9"/>
      <c r="E11" s="10">
        <v>140206000</v>
      </c>
      <c r="G11" s="96"/>
      <c r="H11" s="7">
        <v>2000000</v>
      </c>
      <c r="I11" s="14">
        <v>10124685.074241655</v>
      </c>
      <c r="J11" s="14">
        <v>13130503.215465367</v>
      </c>
      <c r="K11" s="14">
        <v>16136321.356689077</v>
      </c>
      <c r="L11" s="14">
        <v>19142139.497912783</v>
      </c>
      <c r="M11" s="14">
        <v>22147957.639136493</v>
      </c>
      <c r="N11" s="14">
        <v>25153775.780360211</v>
      </c>
      <c r="O11" s="14">
        <v>28159593.921583917</v>
      </c>
      <c r="P11" s="14">
        <v>31165412.062807627</v>
      </c>
      <c r="Q11" s="14">
        <v>34171230.204031341</v>
      </c>
      <c r="R11" s="20"/>
    </row>
    <row r="12" spans="2:18" ht="35.1" customHeight="1" x14ac:dyDescent="0.25">
      <c r="B12" s="19"/>
      <c r="C12" s="102" t="s">
        <v>48</v>
      </c>
      <c r="D12" s="103"/>
      <c r="E12" s="104"/>
      <c r="G12" s="96"/>
      <c r="H12" s="7">
        <v>2100000</v>
      </c>
      <c r="I12" s="14">
        <v>11185212.203015028</v>
      </c>
      <c r="J12" s="14">
        <v>14342306.506959472</v>
      </c>
      <c r="K12" s="14">
        <v>17499400.810903914</v>
      </c>
      <c r="L12" s="14">
        <v>20656495.11484836</v>
      </c>
      <c r="M12" s="14">
        <v>23813589.418792792</v>
      </c>
      <c r="N12" s="14">
        <v>26970683.722737242</v>
      </c>
      <c r="O12" s="14">
        <v>30127778.026681688</v>
      </c>
      <c r="P12" s="14">
        <v>33284872.330626138</v>
      </c>
      <c r="Q12" s="14">
        <v>36441966.634570569</v>
      </c>
      <c r="R12" s="20"/>
    </row>
    <row r="13" spans="2:18" ht="35.1" customHeight="1" x14ac:dyDescent="0.25">
      <c r="B13" s="19"/>
      <c r="C13" s="9" t="s">
        <v>50</v>
      </c>
      <c r="D13" s="9" t="s">
        <v>6</v>
      </c>
      <c r="E13" s="10">
        <f>'سود و زیان'!$F$20</f>
        <v>22519259.263913523</v>
      </c>
      <c r="G13" s="97"/>
      <c r="H13" s="7">
        <v>2200000</v>
      </c>
      <c r="I13" s="14">
        <v>12245739.331788383</v>
      </c>
      <c r="J13" s="14">
        <v>15554109.798453568</v>
      </c>
      <c r="K13" s="14">
        <v>18862480.265118744</v>
      </c>
      <c r="L13" s="14">
        <v>22170850.731783934</v>
      </c>
      <c r="M13" s="14">
        <v>25479221.198449098</v>
      </c>
      <c r="N13" s="14">
        <v>28787591.66511428</v>
      </c>
      <c r="O13" s="14">
        <v>32095962.131779455</v>
      </c>
      <c r="P13" s="14">
        <v>35404332.598444626</v>
      </c>
      <c r="Q13" s="14">
        <v>38712703.065109812</v>
      </c>
      <c r="R13" s="20"/>
    </row>
    <row r="14" spans="2:18" ht="9.9499999999999993" customHeight="1" x14ac:dyDescent="0.25"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3"/>
    </row>
  </sheetData>
  <mergeCells count="6">
    <mergeCell ref="G6:G13"/>
    <mergeCell ref="I4:Q4"/>
    <mergeCell ref="G3:Q3"/>
    <mergeCell ref="C3:E3"/>
    <mergeCell ref="C4:E4"/>
    <mergeCell ref="C12:E12"/>
  </mergeCells>
  <conditionalFormatting sqref="I6:Q13">
    <cfRule type="colorScale" priority="1">
      <colorScale>
        <cfvo type="formula" val="$E$11/7"/>
        <cfvo type="formula" val="$E$11/6"/>
        <cfvo type="formula" val="$E$11/5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F7AB-4AF9-4D4A-B530-9F2966AC9052}">
  <dimension ref="B2:O149"/>
  <sheetViews>
    <sheetView showGridLines="0" rightToLeft="1" topLeftCell="A46" zoomScaleNormal="100" workbookViewId="0">
      <selection activeCell="K27" sqref="K27"/>
    </sheetView>
  </sheetViews>
  <sheetFormatPr defaultRowHeight="30" customHeight="1" x14ac:dyDescent="0.25"/>
  <cols>
    <col min="1" max="2" width="5.7109375" style="1" customWidth="1"/>
    <col min="3" max="3" width="35.7109375" style="1" customWidth="1"/>
    <col min="4" max="4" width="11" style="1" customWidth="1"/>
    <col min="5" max="7" width="15.7109375" style="1" customWidth="1"/>
    <col min="8" max="8" width="16.5703125" style="1" customWidth="1"/>
    <col min="9" max="9" width="4.140625" style="1" customWidth="1"/>
    <col min="10" max="10" width="9.140625" style="1"/>
    <col min="11" max="12" width="11.5703125" style="1" bestFit="1" customWidth="1"/>
    <col min="13" max="14" width="9.140625" style="1"/>
    <col min="15" max="15" width="12.7109375" style="1" bestFit="1" customWidth="1"/>
    <col min="16" max="16384" width="9.140625" style="1"/>
  </cols>
  <sheetData>
    <row r="2" spans="2:9" ht="30" customHeight="1" x14ac:dyDescent="0.25">
      <c r="B2" s="107" t="s">
        <v>0</v>
      </c>
      <c r="C2" s="108"/>
      <c r="D2" s="108"/>
      <c r="E2" s="41"/>
      <c r="F2" s="41"/>
      <c r="G2" s="41"/>
      <c r="H2" s="42"/>
      <c r="I2" s="77"/>
    </row>
    <row r="3" spans="2:9" ht="9.9499999999999993" customHeight="1" x14ac:dyDescent="0.25">
      <c r="B3" s="32"/>
      <c r="H3" s="33"/>
      <c r="I3" s="33"/>
    </row>
    <row r="4" spans="2:9" ht="30" customHeight="1" x14ac:dyDescent="0.25">
      <c r="B4" s="32"/>
      <c r="C4" s="105" t="s">
        <v>7</v>
      </c>
      <c r="D4" s="106"/>
      <c r="E4" s="59"/>
      <c r="F4" s="59"/>
      <c r="G4" s="60"/>
      <c r="H4" s="60"/>
      <c r="I4" s="33"/>
    </row>
    <row r="5" spans="2:9" ht="30" customHeight="1" x14ac:dyDescent="0.25">
      <c r="B5" s="32"/>
      <c r="C5" s="30" t="s">
        <v>1</v>
      </c>
      <c r="D5" s="30" t="s">
        <v>2</v>
      </c>
      <c r="E5" s="31">
        <v>1401</v>
      </c>
      <c r="F5" s="31">
        <v>1402</v>
      </c>
      <c r="G5" s="31">
        <v>1403</v>
      </c>
      <c r="H5" s="31">
        <v>1404</v>
      </c>
      <c r="I5" s="33"/>
    </row>
    <row r="6" spans="2:9" ht="30" customHeight="1" x14ac:dyDescent="0.25">
      <c r="B6" s="32"/>
      <c r="C6" s="44" t="s">
        <v>114</v>
      </c>
      <c r="D6" s="44" t="s">
        <v>3</v>
      </c>
      <c r="E6" s="44">
        <v>455585</v>
      </c>
      <c r="F6" s="44">
        <v>340886</v>
      </c>
      <c r="G6" s="44">
        <v>340882</v>
      </c>
      <c r="H6" s="44">
        <f>$H$19*H25</f>
        <v>327302.21085563145</v>
      </c>
      <c r="I6" s="33"/>
    </row>
    <row r="7" spans="2:9" ht="30" customHeight="1" x14ac:dyDescent="0.25">
      <c r="B7" s="32"/>
      <c r="C7" s="47" t="s">
        <v>115</v>
      </c>
      <c r="D7" s="47" t="s">
        <v>3</v>
      </c>
      <c r="E7" s="47">
        <v>643667</v>
      </c>
      <c r="F7" s="47">
        <v>534648</v>
      </c>
      <c r="G7" s="47">
        <v>486211</v>
      </c>
      <c r="H7" s="47">
        <f>$H$19*H26</f>
        <v>466841.70839858789</v>
      </c>
      <c r="I7" s="33"/>
    </row>
    <row r="8" spans="2:9" ht="30" customHeight="1" x14ac:dyDescent="0.25">
      <c r="B8" s="32"/>
      <c r="C8" s="44" t="s">
        <v>116</v>
      </c>
      <c r="D8" s="44" t="s">
        <v>3</v>
      </c>
      <c r="E8" s="44">
        <v>292864</v>
      </c>
      <c r="F8" s="44">
        <v>566162</v>
      </c>
      <c r="G8" s="44">
        <v>557565</v>
      </c>
      <c r="H8" s="44">
        <f>$H$19*H27</f>
        <v>535353.16383886547</v>
      </c>
      <c r="I8" s="33"/>
    </row>
    <row r="9" spans="2:9" ht="30" customHeight="1" x14ac:dyDescent="0.25">
      <c r="B9" s="32"/>
      <c r="C9" s="47" t="s">
        <v>117</v>
      </c>
      <c r="D9" s="47" t="s">
        <v>3</v>
      </c>
      <c r="E9" s="47">
        <v>139123</v>
      </c>
      <c r="F9" s="47">
        <v>329522</v>
      </c>
      <c r="G9" s="47">
        <v>283417</v>
      </c>
      <c r="H9" s="47">
        <f>$H$19*H28</f>
        <v>272126.4563516716</v>
      </c>
      <c r="I9" s="33"/>
    </row>
    <row r="10" spans="2:9" ht="30" customHeight="1" x14ac:dyDescent="0.25">
      <c r="B10" s="32"/>
      <c r="C10" s="44" t="s">
        <v>118</v>
      </c>
      <c r="D10" s="44" t="s">
        <v>3</v>
      </c>
      <c r="E10" s="44">
        <v>163641</v>
      </c>
      <c r="F10" s="44">
        <v>141148</v>
      </c>
      <c r="G10" s="44">
        <v>108041</v>
      </c>
      <c r="H10" s="44">
        <f t="shared" ref="H10:H12" si="0">$H$19*H29</f>
        <v>103736.9475743902</v>
      </c>
      <c r="I10" s="33"/>
    </row>
    <row r="11" spans="2:9" ht="30" customHeight="1" x14ac:dyDescent="0.25">
      <c r="B11" s="32"/>
      <c r="C11" s="47" t="s">
        <v>120</v>
      </c>
      <c r="D11" s="47" t="s">
        <v>3</v>
      </c>
      <c r="E11" s="47">
        <v>30191</v>
      </c>
      <c r="F11" s="47">
        <v>0</v>
      </c>
      <c r="G11" s="47">
        <v>0</v>
      </c>
      <c r="H11" s="47">
        <f t="shared" si="0"/>
        <v>0</v>
      </c>
      <c r="I11" s="33"/>
    </row>
    <row r="12" spans="2:9" ht="30" customHeight="1" x14ac:dyDescent="0.25">
      <c r="B12" s="32"/>
      <c r="C12" s="44" t="s">
        <v>119</v>
      </c>
      <c r="D12" s="44" t="s">
        <v>3</v>
      </c>
      <c r="E12" s="44">
        <v>61954</v>
      </c>
      <c r="F12" s="44">
        <v>46894</v>
      </c>
      <c r="G12" s="44">
        <v>99923</v>
      </c>
      <c r="H12" s="44">
        <f t="shared" si="0"/>
        <v>95942.346076728209</v>
      </c>
      <c r="I12" s="33"/>
    </row>
    <row r="13" spans="2:9" ht="30" customHeight="1" x14ac:dyDescent="0.25">
      <c r="B13" s="32"/>
      <c r="C13" s="105" t="s">
        <v>8</v>
      </c>
      <c r="D13" s="106"/>
      <c r="E13" s="59"/>
      <c r="F13" s="59"/>
      <c r="G13" s="60"/>
      <c r="H13" s="60"/>
      <c r="I13" s="33"/>
    </row>
    <row r="14" spans="2:9" ht="30" customHeight="1" x14ac:dyDescent="0.25">
      <c r="B14" s="32"/>
      <c r="C14" s="47" t="s">
        <v>122</v>
      </c>
      <c r="D14" s="47" t="s">
        <v>3</v>
      </c>
      <c r="E14" s="47">
        <v>20306</v>
      </c>
      <c r="F14" s="47">
        <v>22860</v>
      </c>
      <c r="G14" s="47">
        <v>30486</v>
      </c>
      <c r="H14" s="47">
        <f>$H$19*H32</f>
        <v>29271.522697428383</v>
      </c>
      <c r="I14" s="33"/>
    </row>
    <row r="15" spans="2:9" ht="30" customHeight="1" x14ac:dyDescent="0.25">
      <c r="B15" s="32"/>
      <c r="C15" s="44" t="s">
        <v>123</v>
      </c>
      <c r="D15" s="44" t="s">
        <v>3</v>
      </c>
      <c r="E15" s="44">
        <v>3248</v>
      </c>
      <c r="F15" s="44">
        <v>18596</v>
      </c>
      <c r="G15" s="44">
        <v>75755</v>
      </c>
      <c r="H15" s="44">
        <f t="shared" ref="H15" si="1">$H$19*H33</f>
        <v>72737.131861959162</v>
      </c>
      <c r="I15" s="33"/>
    </row>
    <row r="16" spans="2:9" ht="30" customHeight="1" x14ac:dyDescent="0.25">
      <c r="B16" s="32"/>
      <c r="C16" s="47" t="s">
        <v>121</v>
      </c>
      <c r="D16" s="47" t="s">
        <v>3</v>
      </c>
      <c r="E16" s="47">
        <v>248</v>
      </c>
      <c r="F16" s="47">
        <v>11768</v>
      </c>
      <c r="G16" s="47">
        <v>49444</v>
      </c>
      <c r="H16" s="47">
        <v>48230</v>
      </c>
      <c r="I16" s="33"/>
    </row>
    <row r="17" spans="2:12" ht="30" customHeight="1" x14ac:dyDescent="0.25">
      <c r="B17" s="32"/>
      <c r="C17" s="25" t="s">
        <v>89</v>
      </c>
      <c r="D17" s="25"/>
      <c r="E17" s="25"/>
      <c r="F17" s="25"/>
      <c r="G17" s="25"/>
      <c r="H17" s="25"/>
      <c r="I17" s="33"/>
    </row>
    <row r="18" spans="2:12" ht="30" customHeight="1" x14ac:dyDescent="0.25">
      <c r="B18" s="32"/>
      <c r="C18" s="24" t="s">
        <v>90</v>
      </c>
      <c r="D18" s="25"/>
      <c r="E18" s="25">
        <v>1751474</v>
      </c>
      <c r="F18" s="25">
        <v>1932395</v>
      </c>
      <c r="G18" s="26">
        <v>1881733</v>
      </c>
      <c r="H18" s="26">
        <f>مفروضات!E6-H16</f>
        <v>1806770</v>
      </c>
      <c r="I18" s="33"/>
    </row>
    <row r="19" spans="2:12" ht="30" customHeight="1" x14ac:dyDescent="0.25">
      <c r="B19" s="32"/>
      <c r="C19" s="24" t="s">
        <v>88</v>
      </c>
      <c r="D19" s="25"/>
      <c r="E19" s="25">
        <f>SUBTOTAL(109,$E$6:$E$12)+SUBTOTAL(109,$E$14:$E$15)</f>
        <v>1810579</v>
      </c>
      <c r="F19" s="25">
        <f>SUBTOTAL(109,$F$6:$F$12)+SUBTOTAL(109,$F$14:$F$15)</f>
        <v>2000716</v>
      </c>
      <c r="G19" s="25">
        <f>SUBTOTAL(109,$G$6:$G$12)+SUBTOTAL(109,$G$14:$G$15)</f>
        <v>1982280</v>
      </c>
      <c r="H19" s="26">
        <f>H18/H20</f>
        <v>1903311.4876552625</v>
      </c>
      <c r="I19" s="33"/>
      <c r="L19" s="79"/>
    </row>
    <row r="20" spans="2:12" ht="30" customHeight="1" x14ac:dyDescent="0.25">
      <c r="B20" s="34"/>
      <c r="C20" s="24" t="s">
        <v>91</v>
      </c>
      <c r="D20" s="25"/>
      <c r="E20" s="57">
        <f>E18/E19</f>
        <v>0.96735574642144861</v>
      </c>
      <c r="F20" s="57">
        <f t="shared" ref="F20:G20" si="2">F18/F19</f>
        <v>0.96585172508242045</v>
      </c>
      <c r="G20" s="57">
        <f t="shared" si="2"/>
        <v>0.94927709506225155</v>
      </c>
      <c r="H20" s="58">
        <f>G20</f>
        <v>0.94927709506225155</v>
      </c>
      <c r="I20" s="36"/>
    </row>
    <row r="22" spans="2:12" ht="30" customHeight="1" x14ac:dyDescent="0.25">
      <c r="B22" s="107" t="s">
        <v>5</v>
      </c>
      <c r="C22" s="108"/>
      <c r="D22" s="108"/>
      <c r="E22" s="41"/>
      <c r="F22" s="41"/>
      <c r="G22" s="41"/>
      <c r="H22" s="42"/>
      <c r="I22" s="77"/>
    </row>
    <row r="23" spans="2:12" ht="9.9499999999999993" customHeight="1" x14ac:dyDescent="0.25">
      <c r="B23" s="32"/>
      <c r="H23" s="33"/>
      <c r="I23" s="33"/>
    </row>
    <row r="24" spans="2:12" ht="30" customHeight="1" x14ac:dyDescent="0.25">
      <c r="B24" s="32"/>
      <c r="C24" s="30" t="s">
        <v>1</v>
      </c>
      <c r="D24" s="30" t="s">
        <v>2</v>
      </c>
      <c r="E24" s="31">
        <v>1401</v>
      </c>
      <c r="F24" s="31">
        <v>1402</v>
      </c>
      <c r="G24" s="31">
        <v>1403</v>
      </c>
      <c r="H24" s="31">
        <v>1404</v>
      </c>
      <c r="I24" s="33"/>
    </row>
    <row r="25" spans="2:12" ht="30" customHeight="1" x14ac:dyDescent="0.25">
      <c r="B25" s="32"/>
      <c r="C25" s="47" t="s">
        <v>114</v>
      </c>
      <c r="D25" s="47" t="s">
        <v>63</v>
      </c>
      <c r="E25" s="53">
        <f>E6/$E$19</f>
        <v>0.25162392803628009</v>
      </c>
      <c r="F25" s="53">
        <f>F6/$F$19</f>
        <v>0.17038200324283906</v>
      </c>
      <c r="G25" s="53">
        <f>G6/$G$19</f>
        <v>0.17196460641281755</v>
      </c>
      <c r="H25" s="53">
        <v>0.17196460641281755</v>
      </c>
      <c r="I25" s="33"/>
    </row>
    <row r="26" spans="2:12" ht="30" customHeight="1" x14ac:dyDescent="0.25">
      <c r="B26" s="32"/>
      <c r="C26" s="44" t="s">
        <v>115</v>
      </c>
      <c r="D26" s="44" t="s">
        <v>63</v>
      </c>
      <c r="E26" s="52">
        <f>E7/$E$19</f>
        <v>0.35550340526428287</v>
      </c>
      <c r="F26" s="52">
        <f>F7/$F$19</f>
        <v>0.26722833225705195</v>
      </c>
      <c r="G26" s="52">
        <f t="shared" ref="G26:G31" si="3">G7/$G$19</f>
        <v>0.24527866900740561</v>
      </c>
      <c r="H26" s="52">
        <v>0.24527866900740561</v>
      </c>
      <c r="I26" s="33"/>
    </row>
    <row r="27" spans="2:12" ht="30" customHeight="1" x14ac:dyDescent="0.25">
      <c r="B27" s="32"/>
      <c r="C27" s="47" t="s">
        <v>116</v>
      </c>
      <c r="D27" s="47" t="s">
        <v>63</v>
      </c>
      <c r="E27" s="53">
        <f>E8/$E$19</f>
        <v>0.16175157228709711</v>
      </c>
      <c r="F27" s="53">
        <f t="shared" ref="F27:F29" si="4">F8/$F$19</f>
        <v>0.28297969326980943</v>
      </c>
      <c r="G27" s="53">
        <f t="shared" si="3"/>
        <v>0.28127459289303225</v>
      </c>
      <c r="H27" s="53">
        <v>0.28127459289303225</v>
      </c>
      <c r="I27" s="33"/>
    </row>
    <row r="28" spans="2:12" ht="30" customHeight="1" x14ac:dyDescent="0.25">
      <c r="B28" s="32"/>
      <c r="C28" s="44" t="s">
        <v>117</v>
      </c>
      <c r="D28" s="44" t="s">
        <v>63</v>
      </c>
      <c r="E28" s="52">
        <f t="shared" ref="E28:E31" si="5">E9/$E$19</f>
        <v>7.6838955936194997E-2</v>
      </c>
      <c r="F28" s="52">
        <f t="shared" si="4"/>
        <v>0.16470203667087183</v>
      </c>
      <c r="G28" s="52">
        <f t="shared" si="3"/>
        <v>0.14297526081078354</v>
      </c>
      <c r="H28" s="52">
        <v>0.14297526081078354</v>
      </c>
      <c r="I28" s="33"/>
    </row>
    <row r="29" spans="2:12" ht="30" customHeight="1" x14ac:dyDescent="0.25">
      <c r="B29" s="32"/>
      <c r="C29" s="47" t="s">
        <v>118</v>
      </c>
      <c r="D29" s="47" t="s">
        <v>63</v>
      </c>
      <c r="E29" s="53">
        <f t="shared" si="5"/>
        <v>9.0380480498227361E-2</v>
      </c>
      <c r="F29" s="53">
        <f t="shared" si="4"/>
        <v>7.0548743549809168E-2</v>
      </c>
      <c r="G29" s="53">
        <f t="shared" si="3"/>
        <v>5.4503400125108459E-2</v>
      </c>
      <c r="H29" s="53">
        <v>5.4503400125108459E-2</v>
      </c>
      <c r="I29" s="33"/>
    </row>
    <row r="30" spans="2:12" ht="30" customHeight="1" x14ac:dyDescent="0.25">
      <c r="B30" s="32"/>
      <c r="C30" s="44" t="s">
        <v>120</v>
      </c>
      <c r="D30" s="44" t="s">
        <v>63</v>
      </c>
      <c r="E30" s="52">
        <f t="shared" si="5"/>
        <v>1.6674776411302682E-2</v>
      </c>
      <c r="F30" s="52">
        <f>F11/$F$19</f>
        <v>0</v>
      </c>
      <c r="G30" s="52">
        <f t="shared" si="3"/>
        <v>0</v>
      </c>
      <c r="H30" s="52">
        <v>0</v>
      </c>
      <c r="I30" s="33"/>
    </row>
    <row r="31" spans="2:12" ht="30" customHeight="1" x14ac:dyDescent="0.25">
      <c r="B31" s="32"/>
      <c r="C31" s="47" t="s">
        <v>119</v>
      </c>
      <c r="D31" s="47" t="s">
        <v>63</v>
      </c>
      <c r="E31" s="53">
        <f t="shared" si="5"/>
        <v>3.4217783372059433E-2</v>
      </c>
      <c r="F31" s="53">
        <f>F12/$F$19</f>
        <v>2.3438608977985879E-2</v>
      </c>
      <c r="G31" s="53">
        <f t="shared" si="3"/>
        <v>5.0408115906935447E-2</v>
      </c>
      <c r="H31" s="53">
        <v>5.0408115906935447E-2</v>
      </c>
      <c r="I31" s="33"/>
    </row>
    <row r="32" spans="2:12" ht="30" customHeight="1" x14ac:dyDescent="0.25">
      <c r="B32" s="32"/>
      <c r="C32" s="44" t="s">
        <v>122</v>
      </c>
      <c r="D32" s="44" t="s">
        <v>63</v>
      </c>
      <c r="E32" s="52">
        <f>E14/$E$19</f>
        <v>1.1215196906624897E-2</v>
      </c>
      <c r="F32" s="52">
        <f>F14/$F$19</f>
        <v>1.1425909524390269E-2</v>
      </c>
      <c r="G32" s="52">
        <f>G14/$G$19</f>
        <v>1.537926024577759E-2</v>
      </c>
      <c r="H32" s="52">
        <v>1.537926024577759E-2</v>
      </c>
      <c r="I32" s="33"/>
    </row>
    <row r="33" spans="2:14" ht="30" customHeight="1" x14ac:dyDescent="0.25">
      <c r="B33" s="32"/>
      <c r="C33" s="47" t="s">
        <v>123</v>
      </c>
      <c r="D33" s="47" t="s">
        <v>63</v>
      </c>
      <c r="E33" s="53">
        <f>E15/$E$19</f>
        <v>1.793901287930546E-3</v>
      </c>
      <c r="F33" s="53">
        <f t="shared" ref="F33:F34" si="6">F15/$F$19</f>
        <v>9.2946725072424064E-3</v>
      </c>
      <c r="G33" s="53">
        <f t="shared" ref="G33:G34" si="7">G15/$G$19</f>
        <v>3.8216094598139516E-2</v>
      </c>
      <c r="H33" s="53">
        <v>3.8216094598139516E-2</v>
      </c>
      <c r="I33" s="33"/>
    </row>
    <row r="34" spans="2:14" ht="30" customHeight="1" x14ac:dyDescent="0.25">
      <c r="B34" s="32"/>
      <c r="C34" s="44" t="s">
        <v>121</v>
      </c>
      <c r="D34" s="44" t="s">
        <v>63</v>
      </c>
      <c r="E34" s="52">
        <f t="shared" ref="E34" si="8">E16/$E$19</f>
        <v>1.3697275843804662E-4</v>
      </c>
      <c r="F34" s="52">
        <f t="shared" si="6"/>
        <v>5.881894281847099E-3</v>
      </c>
      <c r="G34" s="52">
        <f t="shared" si="7"/>
        <v>2.4942994935125209E-2</v>
      </c>
      <c r="H34" s="52">
        <v>2.4942994935125209E-2</v>
      </c>
      <c r="I34" s="33"/>
    </row>
    <row r="35" spans="2:14" ht="30" customHeight="1" x14ac:dyDescent="0.25">
      <c r="B35" s="34"/>
      <c r="C35" s="35"/>
      <c r="D35" s="35"/>
      <c r="E35" s="35"/>
      <c r="F35" s="35"/>
      <c r="G35" s="35"/>
      <c r="H35" s="35"/>
      <c r="I35" s="36"/>
    </row>
    <row r="37" spans="2:14" ht="30" customHeight="1" x14ac:dyDescent="0.25">
      <c r="B37" s="107" t="s">
        <v>53</v>
      </c>
      <c r="C37" s="108"/>
      <c r="D37" s="108"/>
      <c r="E37" s="41"/>
      <c r="F37" s="41"/>
      <c r="G37" s="41"/>
      <c r="H37" s="42"/>
      <c r="I37" s="77"/>
      <c r="J37"/>
      <c r="K37"/>
      <c r="L37"/>
      <c r="M37"/>
      <c r="N37"/>
    </row>
    <row r="38" spans="2:14" ht="9.9499999999999993" customHeight="1" x14ac:dyDescent="0.25">
      <c r="B38" s="32"/>
      <c r="H38" s="33"/>
      <c r="I38" s="33"/>
      <c r="J38"/>
      <c r="K38"/>
      <c r="L38"/>
      <c r="M38"/>
      <c r="N38"/>
    </row>
    <row r="39" spans="2:14" ht="30" customHeight="1" x14ac:dyDescent="0.25">
      <c r="B39" s="32"/>
      <c r="C39" s="105" t="s">
        <v>14</v>
      </c>
      <c r="D39" s="106"/>
      <c r="E39" s="59"/>
      <c r="F39" s="59"/>
      <c r="G39" s="60"/>
      <c r="H39" s="60"/>
      <c r="I39" s="33"/>
      <c r="J39"/>
      <c r="K39"/>
      <c r="L39"/>
      <c r="M39"/>
      <c r="N39"/>
    </row>
    <row r="40" spans="2:14" ht="30" customHeight="1" x14ac:dyDescent="0.25">
      <c r="B40" s="32"/>
      <c r="C40" s="30" t="s">
        <v>1</v>
      </c>
      <c r="D40" s="30" t="s">
        <v>2</v>
      </c>
      <c r="E40" s="31">
        <v>1401</v>
      </c>
      <c r="F40" s="31">
        <v>1402</v>
      </c>
      <c r="G40" s="31">
        <v>1403</v>
      </c>
      <c r="H40" s="31">
        <v>1404</v>
      </c>
      <c r="I40" s="33"/>
      <c r="J40"/>
      <c r="K40"/>
      <c r="L40"/>
      <c r="M40"/>
      <c r="N40"/>
    </row>
    <row r="41" spans="2:14" ht="30" customHeight="1" x14ac:dyDescent="0.25">
      <c r="B41" s="32"/>
      <c r="C41" s="44" t="s">
        <v>114</v>
      </c>
      <c r="D41" s="44" t="s">
        <v>3</v>
      </c>
      <c r="E41" s="44">
        <v>463951</v>
      </c>
      <c r="F41" s="44">
        <v>348596</v>
      </c>
      <c r="G41" s="44">
        <v>352625</v>
      </c>
      <c r="H41" s="44">
        <f>$H$52*H59</f>
        <v>340232.67005896522</v>
      </c>
      <c r="I41" s="33"/>
      <c r="J41"/>
      <c r="K41"/>
      <c r="L41"/>
      <c r="M41"/>
      <c r="N41"/>
    </row>
    <row r="42" spans="2:14" ht="30" customHeight="1" x14ac:dyDescent="0.25">
      <c r="B42" s="32"/>
      <c r="C42" s="47" t="s">
        <v>115</v>
      </c>
      <c r="D42" s="47" t="s">
        <v>3</v>
      </c>
      <c r="E42" s="47">
        <v>643667</v>
      </c>
      <c r="F42" s="47">
        <v>534648</v>
      </c>
      <c r="G42" s="47">
        <v>486211</v>
      </c>
      <c r="H42" s="47">
        <f>$H$52*H60</f>
        <v>469124.04606037441</v>
      </c>
      <c r="I42" s="33"/>
      <c r="J42"/>
      <c r="K42"/>
      <c r="L42"/>
      <c r="M42"/>
      <c r="N42"/>
    </row>
    <row r="43" spans="2:14" ht="30" customHeight="1" x14ac:dyDescent="0.25">
      <c r="B43" s="32"/>
      <c r="C43" s="44" t="s">
        <v>116</v>
      </c>
      <c r="D43" s="44" t="s">
        <v>3</v>
      </c>
      <c r="E43" s="44">
        <v>292943</v>
      </c>
      <c r="F43" s="44">
        <v>564727</v>
      </c>
      <c r="G43" s="44">
        <v>536212</v>
      </c>
      <c r="H43" s="44">
        <f>$H$52*H61</f>
        <v>517367.85672501341</v>
      </c>
      <c r="I43" s="33"/>
      <c r="J43"/>
      <c r="K43"/>
      <c r="L43"/>
      <c r="M43"/>
      <c r="N43"/>
    </row>
    <row r="44" spans="2:14" ht="30" customHeight="1" x14ac:dyDescent="0.25">
      <c r="B44" s="32"/>
      <c r="C44" s="47" t="s">
        <v>117</v>
      </c>
      <c r="D44" s="47" t="s">
        <v>3</v>
      </c>
      <c r="E44" s="47">
        <v>139123</v>
      </c>
      <c r="F44" s="47">
        <v>329522</v>
      </c>
      <c r="G44" s="47">
        <v>283417</v>
      </c>
      <c r="H44" s="47">
        <f>$H$52*H62</f>
        <v>273456.85260574758</v>
      </c>
      <c r="I44" s="33"/>
      <c r="J44"/>
      <c r="K44"/>
      <c r="L44"/>
      <c r="M44"/>
      <c r="N44"/>
    </row>
    <row r="45" spans="2:14" ht="30" customHeight="1" x14ac:dyDescent="0.25">
      <c r="B45" s="32"/>
      <c r="C45" s="44" t="s">
        <v>118</v>
      </c>
      <c r="D45" s="44" t="s">
        <v>3</v>
      </c>
      <c r="E45" s="44">
        <v>192216</v>
      </c>
      <c r="F45" s="44">
        <v>140995</v>
      </c>
      <c r="G45" s="44">
        <v>108019</v>
      </c>
      <c r="H45" s="44">
        <f>$H$52*H63</f>
        <v>104222.87922608825</v>
      </c>
      <c r="I45" s="33"/>
      <c r="J45"/>
      <c r="K45"/>
      <c r="L45"/>
      <c r="M45"/>
      <c r="N45"/>
    </row>
    <row r="46" spans="2:14" ht="30" customHeight="1" x14ac:dyDescent="0.25">
      <c r="B46" s="32"/>
      <c r="C46" s="47" t="s">
        <v>120</v>
      </c>
      <c r="D46" s="47" t="s">
        <v>3</v>
      </c>
      <c r="E46" s="47">
        <v>0</v>
      </c>
      <c r="F46" s="47">
        <v>0</v>
      </c>
      <c r="G46" s="47">
        <v>0</v>
      </c>
      <c r="H46" s="47">
        <f t="shared" ref="H46:H47" si="9">$H$52*H64</f>
        <v>0</v>
      </c>
      <c r="I46" s="33"/>
      <c r="J46"/>
      <c r="K46"/>
      <c r="L46"/>
      <c r="M46"/>
      <c r="N46"/>
    </row>
    <row r="47" spans="2:14" ht="30" customHeight="1" x14ac:dyDescent="0.25">
      <c r="B47" s="32"/>
      <c r="C47" s="44" t="s">
        <v>119</v>
      </c>
      <c r="D47" s="44" t="s">
        <v>3</v>
      </c>
      <c r="E47" s="44">
        <v>61863</v>
      </c>
      <c r="F47" s="44">
        <v>46700</v>
      </c>
      <c r="G47" s="44">
        <v>99911</v>
      </c>
      <c r="H47" s="44">
        <f t="shared" si="9"/>
        <v>96399.819349907906</v>
      </c>
      <c r="I47" s="33"/>
      <c r="J47"/>
      <c r="K47"/>
      <c r="L47"/>
      <c r="M47"/>
      <c r="N47"/>
    </row>
    <row r="48" spans="2:14" ht="30" customHeight="1" x14ac:dyDescent="0.25">
      <c r="B48" s="32"/>
      <c r="C48" s="105" t="s">
        <v>15</v>
      </c>
      <c r="D48" s="106"/>
      <c r="E48" s="59"/>
      <c r="F48" s="59"/>
      <c r="G48" s="60"/>
      <c r="H48" s="60"/>
      <c r="I48" s="33"/>
    </row>
    <row r="49" spans="2:9" ht="30" customHeight="1" x14ac:dyDescent="0.25">
      <c r="B49" s="32"/>
      <c r="C49" s="44" t="s">
        <v>122</v>
      </c>
      <c r="D49" s="44" t="s">
        <v>3</v>
      </c>
      <c r="E49" s="44">
        <v>20306</v>
      </c>
      <c r="F49" s="44">
        <v>22860</v>
      </c>
      <c r="G49" s="44">
        <v>30486</v>
      </c>
      <c r="H49" s="44">
        <f>$H$52*H67</f>
        <v>30589.348521419281</v>
      </c>
      <c r="I49" s="33"/>
    </row>
    <row r="50" spans="2:9" ht="30" customHeight="1" x14ac:dyDescent="0.25">
      <c r="B50" s="32"/>
      <c r="C50" s="47" t="s">
        <v>123</v>
      </c>
      <c r="D50" s="47" t="s">
        <v>3</v>
      </c>
      <c r="E50" s="47">
        <v>3248</v>
      </c>
      <c r="F50" s="47">
        <v>18596</v>
      </c>
      <c r="G50" s="47">
        <v>75755</v>
      </c>
      <c r="H50" s="47">
        <f t="shared" ref="H50" si="10">$H$52*H68</f>
        <v>76011.81188873967</v>
      </c>
      <c r="I50" s="33"/>
    </row>
    <row r="51" spans="2:9" ht="30" customHeight="1" x14ac:dyDescent="0.25">
      <c r="B51" s="32"/>
      <c r="C51" s="44" t="s">
        <v>121</v>
      </c>
      <c r="D51" s="44" t="s">
        <v>3</v>
      </c>
      <c r="E51" s="44">
        <v>0</v>
      </c>
      <c r="F51" s="44">
        <v>11768</v>
      </c>
      <c r="G51" s="44">
        <v>49444</v>
      </c>
      <c r="H51" s="44">
        <f>H16</f>
        <v>48230</v>
      </c>
      <c r="I51" s="33"/>
    </row>
    <row r="52" spans="2:9" ht="30" customHeight="1" x14ac:dyDescent="0.25">
      <c r="B52" s="32"/>
      <c r="C52" s="24" t="s">
        <v>4</v>
      </c>
      <c r="D52" s="25"/>
      <c r="E52" s="25">
        <f>SUBTOTAL(109,درآمد!$E$41:$E$47)+SUBTOTAL(109,درآمد!$E$49:$E$50)</f>
        <v>1817317</v>
      </c>
      <c r="F52" s="25">
        <f>SUBTOTAL(109,درآمد!$F$41:$F$47)+SUBTOTAL(109,درآمد!$F$49:$F$50)</f>
        <v>2006644</v>
      </c>
      <c r="G52" s="26">
        <f>SUBTOTAL(109,$G$41:$G$47)+SUBTOTAL(109,$G$49:$G$50)</f>
        <v>1972636</v>
      </c>
      <c r="H52" s="26">
        <f>H19</f>
        <v>1903311.4876552625</v>
      </c>
      <c r="I52" s="33"/>
    </row>
    <row r="53" spans="2:9" ht="30" customHeight="1" x14ac:dyDescent="0.25">
      <c r="B53" s="34"/>
      <c r="C53" s="35"/>
      <c r="D53" s="35"/>
      <c r="E53" s="35"/>
      <c r="F53" s="35"/>
      <c r="G53" s="35"/>
      <c r="H53" s="36"/>
      <c r="I53" s="36"/>
    </row>
    <row r="55" spans="2:9" ht="30" customHeight="1" x14ac:dyDescent="0.25">
      <c r="B55" s="107" t="s">
        <v>54</v>
      </c>
      <c r="C55" s="108"/>
      <c r="D55" s="108"/>
      <c r="E55" s="41"/>
      <c r="F55" s="41"/>
      <c r="G55" s="41"/>
      <c r="H55" s="42"/>
      <c r="I55" s="77"/>
    </row>
    <row r="56" spans="2:9" ht="9.9499999999999993" customHeight="1" x14ac:dyDescent="0.25">
      <c r="B56" s="32"/>
      <c r="H56" s="33"/>
      <c r="I56" s="33"/>
    </row>
    <row r="57" spans="2:9" ht="30" customHeight="1" x14ac:dyDescent="0.25">
      <c r="B57" s="32"/>
      <c r="C57" s="105" t="s">
        <v>9</v>
      </c>
      <c r="D57" s="106"/>
      <c r="E57" s="59"/>
      <c r="F57" s="59"/>
      <c r="G57" s="60"/>
      <c r="H57" s="60"/>
      <c r="I57" s="33"/>
    </row>
    <row r="58" spans="2:9" ht="30" customHeight="1" x14ac:dyDescent="0.25">
      <c r="B58" s="32"/>
      <c r="C58" s="30" t="s">
        <v>1</v>
      </c>
      <c r="D58" s="30" t="s">
        <v>2</v>
      </c>
      <c r="E58" s="31">
        <v>1401</v>
      </c>
      <c r="F58" s="31">
        <v>1402</v>
      </c>
      <c r="G58" s="31">
        <v>1403</v>
      </c>
      <c r="H58" s="31">
        <v>1404</v>
      </c>
      <c r="I58" s="33"/>
    </row>
    <row r="59" spans="2:9" ht="30" customHeight="1" x14ac:dyDescent="0.25">
      <c r="B59" s="32"/>
      <c r="C59" s="52" t="s">
        <v>114</v>
      </c>
      <c r="D59" s="52" t="s">
        <v>63</v>
      </c>
      <c r="E59" s="52">
        <f>E41/$E$52</f>
        <v>0.25529448081980194</v>
      </c>
      <c r="F59" s="52">
        <f>F41/$F$52</f>
        <v>0.17372089917294747</v>
      </c>
      <c r="G59" s="52">
        <f t="shared" ref="G59:G65" si="11">G41/$G$52</f>
        <v>0.17875827065915861</v>
      </c>
      <c r="H59" s="52">
        <v>0.17875827065915861</v>
      </c>
      <c r="I59" s="33"/>
    </row>
    <row r="60" spans="2:9" ht="30" customHeight="1" x14ac:dyDescent="0.25">
      <c r="B60" s="32"/>
      <c r="C60" s="53" t="s">
        <v>115</v>
      </c>
      <c r="D60" s="53" t="s">
        <v>63</v>
      </c>
      <c r="E60" s="53">
        <f t="shared" ref="E60:E64" si="12">E42/$E$52</f>
        <v>0.35418531824662403</v>
      </c>
      <c r="F60" s="53">
        <f t="shared" ref="F60:F65" si="13">F42/$F$52</f>
        <v>0.26643889000739546</v>
      </c>
      <c r="G60" s="53">
        <f t="shared" si="11"/>
        <v>0.24647780938804725</v>
      </c>
      <c r="H60" s="53">
        <v>0.24647780938804725</v>
      </c>
      <c r="I60" s="33"/>
    </row>
    <row r="61" spans="2:9" ht="30" customHeight="1" x14ac:dyDescent="0.25">
      <c r="B61" s="32"/>
      <c r="C61" s="52" t="s">
        <v>116</v>
      </c>
      <c r="D61" s="52" t="s">
        <v>63</v>
      </c>
      <c r="E61" s="52">
        <f t="shared" si="12"/>
        <v>0.16119532255517338</v>
      </c>
      <c r="F61" s="52">
        <f t="shared" si="13"/>
        <v>0.28142859421003424</v>
      </c>
      <c r="G61" s="52">
        <f t="shared" si="11"/>
        <v>0.27182511117104219</v>
      </c>
      <c r="H61" s="52">
        <v>0.27182511117104219</v>
      </c>
      <c r="I61" s="33"/>
    </row>
    <row r="62" spans="2:9" ht="30" customHeight="1" x14ac:dyDescent="0.25">
      <c r="B62" s="32"/>
      <c r="C62" s="53" t="s">
        <v>117</v>
      </c>
      <c r="D62" s="53" t="s">
        <v>63</v>
      </c>
      <c r="E62" s="53">
        <f t="shared" si="12"/>
        <v>7.6554062940037429E-2</v>
      </c>
      <c r="F62" s="53">
        <f t="shared" si="13"/>
        <v>0.16421547618810312</v>
      </c>
      <c r="G62" s="53">
        <f t="shared" si="11"/>
        <v>0.14367425110359944</v>
      </c>
      <c r="H62" s="53">
        <v>0.14367425110359944</v>
      </c>
      <c r="I62" s="33"/>
    </row>
    <row r="63" spans="2:9" ht="30" customHeight="1" x14ac:dyDescent="0.25">
      <c r="B63" s="32"/>
      <c r="C63" s="52" t="s">
        <v>118</v>
      </c>
      <c r="D63" s="52" t="s">
        <v>63</v>
      </c>
      <c r="E63" s="52">
        <f t="shared" si="12"/>
        <v>0.10576910907673234</v>
      </c>
      <c r="F63" s="52">
        <f t="shared" si="13"/>
        <v>7.0264082717213419E-2</v>
      </c>
      <c r="G63" s="52">
        <f t="shared" si="11"/>
        <v>5.4758708651773569E-2</v>
      </c>
      <c r="H63" s="52">
        <v>5.4758708651773569E-2</v>
      </c>
      <c r="I63" s="33"/>
    </row>
    <row r="64" spans="2:9" ht="30" customHeight="1" x14ac:dyDescent="0.25">
      <c r="B64" s="32"/>
      <c r="C64" s="53" t="s">
        <v>120</v>
      </c>
      <c r="D64" s="53" t="s">
        <v>63</v>
      </c>
      <c r="E64" s="53">
        <f t="shared" si="12"/>
        <v>0</v>
      </c>
      <c r="F64" s="53">
        <f t="shared" si="13"/>
        <v>0</v>
      </c>
      <c r="G64" s="53">
        <f t="shared" si="11"/>
        <v>0</v>
      </c>
      <c r="H64" s="53">
        <v>0</v>
      </c>
      <c r="I64" s="33"/>
    </row>
    <row r="65" spans="2:15" ht="30" customHeight="1" x14ac:dyDescent="0.25">
      <c r="B65" s="32"/>
      <c r="C65" s="52" t="s">
        <v>119</v>
      </c>
      <c r="D65" s="52" t="s">
        <v>63</v>
      </c>
      <c r="E65" s="52">
        <f>E47/$E$52</f>
        <v>3.4040841526271973E-2</v>
      </c>
      <c r="F65" s="52">
        <f t="shared" si="13"/>
        <v>2.3272688130032033E-2</v>
      </c>
      <c r="G65" s="52">
        <f t="shared" si="11"/>
        <v>5.0648472399368157E-2</v>
      </c>
      <c r="H65" s="52">
        <v>5.0648472399368157E-2</v>
      </c>
      <c r="I65" s="33"/>
    </row>
    <row r="66" spans="2:15" ht="30" customHeight="1" x14ac:dyDescent="0.25">
      <c r="B66" s="32"/>
      <c r="C66" s="105" t="s">
        <v>11</v>
      </c>
      <c r="D66" s="106"/>
      <c r="E66" s="59"/>
      <c r="F66" s="59"/>
      <c r="G66" s="60"/>
      <c r="H66" s="60"/>
      <c r="I66" s="33"/>
      <c r="K66" s="78"/>
    </row>
    <row r="67" spans="2:15" ht="30" customHeight="1" x14ac:dyDescent="0.25">
      <c r="B67" s="32"/>
      <c r="C67" s="53" t="s">
        <v>122</v>
      </c>
      <c r="D67" s="53" t="s">
        <v>63</v>
      </c>
      <c r="E67" s="53">
        <f>E49/$E$52</f>
        <v>1.1173614729846251E-2</v>
      </c>
      <c r="F67" s="53">
        <f>F49/$F$52</f>
        <v>1.1392155260225531E-2</v>
      </c>
      <c r="G67" s="53">
        <f>G49/$G$52</f>
        <v>1.5454447754172589E-2</v>
      </c>
      <c r="H67" s="53">
        <v>1.607164603367317E-2</v>
      </c>
      <c r="I67" s="33"/>
    </row>
    <row r="68" spans="2:15" ht="30" customHeight="1" x14ac:dyDescent="0.25">
      <c r="B68" s="32"/>
      <c r="C68" s="52" t="s">
        <v>123</v>
      </c>
      <c r="D68" s="52"/>
      <c r="E68" s="91">
        <f t="shared" ref="E68:E69" si="14">E50/$E$52</f>
        <v>1.7872501055126871E-3</v>
      </c>
      <c r="F68" s="52">
        <f t="shared" ref="F68:F69" si="15">F50/$F$52</f>
        <v>9.2672143140487308E-3</v>
      </c>
      <c r="G68" s="52">
        <f>G50/$G$52</f>
        <v>3.8402928872838173E-2</v>
      </c>
      <c r="H68" s="52">
        <v>3.9936611732628455E-2</v>
      </c>
      <c r="I68" s="33"/>
    </row>
    <row r="69" spans="2:15" ht="30" customHeight="1" x14ac:dyDescent="0.25">
      <c r="B69" s="32"/>
      <c r="C69" s="53" t="s">
        <v>121</v>
      </c>
      <c r="D69" s="53" t="s">
        <v>63</v>
      </c>
      <c r="E69" s="90">
        <f t="shared" si="14"/>
        <v>0</v>
      </c>
      <c r="F69" s="53">
        <f t="shared" si="15"/>
        <v>5.8645180709682434E-3</v>
      </c>
      <c r="G69" s="53">
        <f t="shared" ref="G69" si="16">G51/$G$52</f>
        <v>2.5064938488398265E-2</v>
      </c>
      <c r="H69" s="53">
        <v>2.6065947204911642E-2</v>
      </c>
      <c r="I69" s="33"/>
    </row>
    <row r="70" spans="2:15" ht="30" customHeight="1" x14ac:dyDescent="0.25">
      <c r="B70" s="32"/>
      <c r="C70" s="24" t="s">
        <v>4</v>
      </c>
      <c r="D70" s="57"/>
      <c r="E70" s="57">
        <f>SUBTOTAL(109,درآمد!$E$59:$E$65)+SUBTOTAL(109,درآمد!$E$67:$E$68)</f>
        <v>1</v>
      </c>
      <c r="F70" s="57">
        <f>SUBTOTAL(109,درآمد!$F$59:$F$65)+SUBTOTAL(109,درآمد!$F$67:$F$68)</f>
        <v>1</v>
      </c>
      <c r="G70" s="58">
        <f>SUBTOTAL(109,درآمد!$G$59:$G$65)+SUBTOTAL(109,درآمد!$G$67:$G$68)</f>
        <v>1</v>
      </c>
      <c r="H70" s="58">
        <f>SUBTOTAL(109,$H$59:$H$65)+SUBTOTAL(109,$H$67:$H$68)</f>
        <v>1.002150881139291</v>
      </c>
      <c r="I70" s="33"/>
    </row>
    <row r="71" spans="2:15" ht="30" customHeight="1" x14ac:dyDescent="0.25">
      <c r="B71" s="34"/>
      <c r="C71" s="35"/>
      <c r="D71" s="35"/>
      <c r="E71" s="35"/>
      <c r="F71" s="35"/>
      <c r="G71" s="35"/>
      <c r="H71" s="36"/>
      <c r="I71" s="36"/>
    </row>
    <row r="73" spans="2:15" ht="30" customHeight="1" x14ac:dyDescent="0.25">
      <c r="B73" s="107" t="s">
        <v>56</v>
      </c>
      <c r="C73" s="108"/>
      <c r="D73" s="108"/>
      <c r="E73" s="41"/>
      <c r="F73" s="41"/>
      <c r="G73" s="41"/>
      <c r="H73" s="42"/>
      <c r="I73" s="77"/>
    </row>
    <row r="74" spans="2:15" ht="30" customHeight="1" x14ac:dyDescent="0.25">
      <c r="B74" s="32"/>
      <c r="H74" s="33"/>
      <c r="I74" s="33"/>
    </row>
    <row r="75" spans="2:15" ht="30" customHeight="1" x14ac:dyDescent="0.25">
      <c r="B75" s="32"/>
      <c r="C75" s="105" t="s">
        <v>12</v>
      </c>
      <c r="D75" s="106"/>
      <c r="E75" s="59"/>
      <c r="F75" s="59"/>
      <c r="G75" s="60"/>
      <c r="H75" s="60"/>
      <c r="I75" s="33"/>
    </row>
    <row r="76" spans="2:15" ht="30" customHeight="1" x14ac:dyDescent="0.25">
      <c r="B76" s="32"/>
      <c r="C76" s="30" t="s">
        <v>1</v>
      </c>
      <c r="D76" s="30" t="s">
        <v>2</v>
      </c>
      <c r="E76" s="31">
        <v>1401</v>
      </c>
      <c r="F76" s="31">
        <v>1402</v>
      </c>
      <c r="G76" s="31">
        <v>1403</v>
      </c>
      <c r="H76" s="31">
        <v>1404</v>
      </c>
      <c r="I76" s="33"/>
    </row>
    <row r="77" spans="2:15" ht="30" customHeight="1" x14ac:dyDescent="0.25">
      <c r="B77" s="32"/>
      <c r="C77" s="44" t="s">
        <v>114</v>
      </c>
      <c r="D77" s="44" t="s">
        <v>6</v>
      </c>
      <c r="E77" s="44">
        <v>6516874</v>
      </c>
      <c r="F77" s="44">
        <v>9492731</v>
      </c>
      <c r="G77" s="44">
        <v>16988257</v>
      </c>
      <c r="H77" s="44">
        <f>H79*H96</f>
        <v>26731506.017471828</v>
      </c>
      <c r="I77" s="33"/>
      <c r="K77" s="80"/>
      <c r="L77" s="80"/>
      <c r="M77" s="80"/>
      <c r="N77" s="78"/>
      <c r="O77" s="81"/>
    </row>
    <row r="78" spans="2:15" ht="30" customHeight="1" x14ac:dyDescent="0.25">
      <c r="B78" s="32"/>
      <c r="C78" s="47" t="s">
        <v>115</v>
      </c>
      <c r="D78" s="47" t="s">
        <v>6</v>
      </c>
      <c r="E78" s="47">
        <v>7438699</v>
      </c>
      <c r="F78" s="47">
        <v>10194171</v>
      </c>
      <c r="G78" s="47">
        <v>15615875</v>
      </c>
      <c r="H78" s="47">
        <f>H79*H97</f>
        <v>27844320.938352689</v>
      </c>
      <c r="I78" s="33"/>
      <c r="K78" s="80"/>
      <c r="L78" s="80"/>
      <c r="M78" s="80"/>
      <c r="N78" s="78"/>
      <c r="O78" s="81"/>
    </row>
    <row r="79" spans="2:15" ht="30" customHeight="1" x14ac:dyDescent="0.25">
      <c r="B79" s="32"/>
      <c r="C79" s="44" t="s">
        <v>116</v>
      </c>
      <c r="D79" s="44" t="s">
        <v>6</v>
      </c>
      <c r="E79" s="44">
        <v>5581420</v>
      </c>
      <c r="F79" s="44">
        <v>8213323</v>
      </c>
      <c r="G79" s="44">
        <v>13517732</v>
      </c>
      <c r="H79" s="44">
        <f>H91*H92</f>
        <v>22400000</v>
      </c>
      <c r="I79" s="33"/>
      <c r="K79" s="80"/>
      <c r="L79" s="80"/>
      <c r="M79" s="80"/>
      <c r="N79" s="78"/>
      <c r="O79" s="81"/>
    </row>
    <row r="80" spans="2:15" ht="30" customHeight="1" x14ac:dyDescent="0.25">
      <c r="B80" s="32"/>
      <c r="C80" s="47" t="s">
        <v>117</v>
      </c>
      <c r="D80" s="47" t="s">
        <v>6</v>
      </c>
      <c r="E80" s="47">
        <v>6357044</v>
      </c>
      <c r="F80" s="47">
        <v>9387461</v>
      </c>
      <c r="G80" s="47">
        <v>14776368</v>
      </c>
      <c r="H80" s="47">
        <f>H79*H99</f>
        <v>25200228.81175885</v>
      </c>
      <c r="I80" s="33"/>
      <c r="K80" s="80"/>
      <c r="L80" s="80"/>
      <c r="M80" s="80"/>
      <c r="N80" s="78"/>
      <c r="O80" s="81"/>
    </row>
    <row r="81" spans="2:15" ht="30" customHeight="1" x14ac:dyDescent="0.25">
      <c r="B81" s="32"/>
      <c r="C81" s="44" t="s">
        <v>118</v>
      </c>
      <c r="D81" s="44" t="s">
        <v>6</v>
      </c>
      <c r="E81" s="44">
        <v>6313491</v>
      </c>
      <c r="F81" s="44">
        <v>8842569</v>
      </c>
      <c r="G81" s="44">
        <v>13498634</v>
      </c>
      <c r="H81" s="44">
        <f>H79*H100</f>
        <v>23940837.539454449</v>
      </c>
      <c r="I81" s="33"/>
      <c r="K81" s="80"/>
      <c r="L81" s="80"/>
      <c r="M81" s="80"/>
      <c r="N81" s="78"/>
      <c r="O81" s="81"/>
    </row>
    <row r="82" spans="2:15" ht="30" customHeight="1" x14ac:dyDescent="0.25">
      <c r="B82" s="32"/>
      <c r="C82" s="47" t="s">
        <v>120</v>
      </c>
      <c r="D82" s="47" t="s">
        <v>6</v>
      </c>
      <c r="E82" s="47">
        <v>0</v>
      </c>
      <c r="F82" s="47">
        <v>0</v>
      </c>
      <c r="G82" s="47">
        <v>0</v>
      </c>
      <c r="H82" s="47">
        <f>H79*H101</f>
        <v>0</v>
      </c>
      <c r="I82" s="33"/>
      <c r="K82" s="80"/>
      <c r="L82" s="80"/>
      <c r="M82" s="80"/>
      <c r="N82" s="78"/>
    </row>
    <row r="83" spans="2:15" ht="30" customHeight="1" x14ac:dyDescent="0.25">
      <c r="B83" s="32"/>
      <c r="C83" s="44" t="s">
        <v>119</v>
      </c>
      <c r="D83" s="44" t="s">
        <v>6</v>
      </c>
      <c r="E83" s="44">
        <v>6175032</v>
      </c>
      <c r="F83" s="44">
        <v>8096124</v>
      </c>
      <c r="G83" s="44">
        <v>11847354</v>
      </c>
      <c r="H83" s="44">
        <f>H79*H102</f>
        <v>22164921.253377419</v>
      </c>
      <c r="I83" s="33"/>
      <c r="K83" s="80"/>
      <c r="L83" s="80"/>
      <c r="M83" s="80"/>
      <c r="N83" s="78"/>
    </row>
    <row r="84" spans="2:15" ht="30" customHeight="1" x14ac:dyDescent="0.25">
      <c r="B84" s="32"/>
      <c r="C84" s="105" t="s">
        <v>13</v>
      </c>
      <c r="D84" s="106"/>
      <c r="E84" s="59"/>
      <c r="F84" s="59"/>
      <c r="G84" s="60"/>
      <c r="H84" s="60"/>
      <c r="I84" s="33"/>
    </row>
    <row r="85" spans="2:15" ht="30" customHeight="1" x14ac:dyDescent="0.25">
      <c r="B85" s="32"/>
      <c r="C85" s="44" t="s">
        <v>122</v>
      </c>
      <c r="D85" s="44" t="s">
        <v>6</v>
      </c>
      <c r="E85" s="44">
        <v>8778932</v>
      </c>
      <c r="F85" s="44">
        <v>11089851</v>
      </c>
      <c r="G85" s="44">
        <v>12818080</v>
      </c>
      <c r="H85" s="44">
        <f>H79*H104</f>
        <v>21240618.766520891</v>
      </c>
      <c r="I85" s="33"/>
    </row>
    <row r="86" spans="2:15" ht="30" customHeight="1" x14ac:dyDescent="0.25">
      <c r="B86" s="32"/>
      <c r="C86" s="47" t="s">
        <v>123</v>
      </c>
      <c r="D86" s="47" t="s">
        <v>6</v>
      </c>
      <c r="E86" s="47">
        <v>7575431</v>
      </c>
      <c r="F86" s="47">
        <v>9924231</v>
      </c>
      <c r="G86" s="47">
        <v>12821160</v>
      </c>
      <c r="H86" s="47">
        <f>H79*H105</f>
        <v>21245722.58127325</v>
      </c>
      <c r="I86" s="33"/>
    </row>
    <row r="87" spans="2:15" ht="30" customHeight="1" x14ac:dyDescent="0.25">
      <c r="B87" s="34"/>
      <c r="C87" s="92" t="s">
        <v>121</v>
      </c>
      <c r="D87" s="92" t="s">
        <v>6</v>
      </c>
      <c r="E87" s="92">
        <v>6072581</v>
      </c>
      <c r="F87" s="92">
        <v>6307869</v>
      </c>
      <c r="G87" s="92">
        <v>11588686</v>
      </c>
      <c r="H87" s="92">
        <f>H79*H106</f>
        <v>19203411.223125294</v>
      </c>
      <c r="I87" s="36"/>
    </row>
    <row r="89" spans="2:15" ht="30" customHeight="1" x14ac:dyDescent="0.25">
      <c r="B89" s="107" t="s">
        <v>133</v>
      </c>
      <c r="C89" s="108"/>
      <c r="D89" s="108"/>
      <c r="E89" s="41"/>
      <c r="F89" s="41"/>
      <c r="G89" s="41"/>
      <c r="H89" s="41"/>
    </row>
    <row r="90" spans="2:15" ht="30" customHeight="1" x14ac:dyDescent="0.25">
      <c r="B90" s="109" t="s">
        <v>1</v>
      </c>
      <c r="C90" s="109"/>
      <c r="D90" s="31" t="s">
        <v>2</v>
      </c>
      <c r="E90" s="31">
        <v>1401</v>
      </c>
      <c r="F90" s="31">
        <v>1402</v>
      </c>
      <c r="G90" s="31">
        <v>1403</v>
      </c>
      <c r="H90" s="31">
        <v>1404</v>
      </c>
    </row>
    <row r="91" spans="2:15" ht="30" customHeight="1" x14ac:dyDescent="0.25">
      <c r="B91" s="43"/>
      <c r="C91" s="44" t="s">
        <v>96</v>
      </c>
      <c r="D91" s="44" t="s">
        <v>17</v>
      </c>
      <c r="E91" s="44">
        <f>E79/E92</f>
        <v>13.884129353233831</v>
      </c>
      <c r="F91" s="44">
        <f>F79/F92</f>
        <v>18.893146241877048</v>
      </c>
      <c r="G91" s="44">
        <f>G79/G92</f>
        <v>19.303407080341064</v>
      </c>
      <c r="H91" s="45">
        <f>مفروضات!E7</f>
        <v>32</v>
      </c>
    </row>
    <row r="92" spans="2:15" ht="30" customHeight="1" x14ac:dyDescent="0.25">
      <c r="B92" s="74"/>
      <c r="C92" s="75" t="s">
        <v>97</v>
      </c>
      <c r="D92" s="75" t="s">
        <v>98</v>
      </c>
      <c r="E92" s="75">
        <v>402000</v>
      </c>
      <c r="F92" s="76">
        <v>434725</v>
      </c>
      <c r="G92" s="76">
        <v>700277</v>
      </c>
      <c r="H92" s="74">
        <f>مفروضات!E8</f>
        <v>700000</v>
      </c>
    </row>
    <row r="94" spans="2:15" ht="30" customHeight="1" x14ac:dyDescent="0.25">
      <c r="B94" s="107" t="s">
        <v>99</v>
      </c>
      <c r="C94" s="108"/>
      <c r="D94" s="108"/>
      <c r="E94" s="41"/>
      <c r="F94" s="41"/>
      <c r="G94" s="41"/>
      <c r="H94" s="42"/>
    </row>
    <row r="95" spans="2:15" ht="30" customHeight="1" x14ac:dyDescent="0.25">
      <c r="B95" s="109" t="s">
        <v>1</v>
      </c>
      <c r="C95" s="109"/>
      <c r="D95" s="31" t="s">
        <v>2</v>
      </c>
      <c r="E95" s="31">
        <v>1401</v>
      </c>
      <c r="F95" s="31">
        <v>1402</v>
      </c>
      <c r="G95" s="31">
        <v>1403</v>
      </c>
      <c r="H95" s="31">
        <v>1404</v>
      </c>
    </row>
    <row r="96" spans="2:15" ht="30" customHeight="1" x14ac:dyDescent="0.25">
      <c r="B96" s="44"/>
      <c r="C96" s="44" t="s">
        <v>114</v>
      </c>
      <c r="D96" s="44" t="s">
        <v>63</v>
      </c>
      <c r="E96" s="52">
        <f>E77/$E$79</f>
        <v>1.1676014347603298</v>
      </c>
      <c r="F96" s="52">
        <f t="shared" ref="F96:F102" si="17">F77/$F$79</f>
        <v>1.1557722739018057</v>
      </c>
      <c r="G96" s="52">
        <f>G77/$G$79</f>
        <v>1.2567387043921274</v>
      </c>
      <c r="H96" s="52">
        <f>AVERAGE(E96:G96)</f>
        <v>1.1933708043514208</v>
      </c>
    </row>
    <row r="97" spans="2:10" ht="30" customHeight="1" x14ac:dyDescent="0.25">
      <c r="B97" s="47"/>
      <c r="C97" s="47" t="s">
        <v>115</v>
      </c>
      <c r="D97" s="47" t="s">
        <v>63</v>
      </c>
      <c r="E97" s="53">
        <f>E78/$E$79</f>
        <v>1.3327610178055047</v>
      </c>
      <c r="F97" s="53">
        <f t="shared" si="17"/>
        <v>1.2411749787509878</v>
      </c>
      <c r="G97" s="53">
        <f t="shared" ref="G97:G102" si="18">G78/$G$79</f>
        <v>1.1552141291157423</v>
      </c>
      <c r="H97" s="53">
        <f t="shared" ref="H97:H102" si="19">AVERAGE(E97:G97)</f>
        <v>1.2430500418907451</v>
      </c>
      <c r="J97" s="78"/>
    </row>
    <row r="98" spans="2:10" ht="30" customHeight="1" x14ac:dyDescent="0.25">
      <c r="B98" s="44"/>
      <c r="C98" s="44" t="s">
        <v>116</v>
      </c>
      <c r="D98" s="44" t="s">
        <v>63</v>
      </c>
      <c r="E98" s="52">
        <f>E79/$E$79</f>
        <v>1</v>
      </c>
      <c r="F98" s="52">
        <f t="shared" si="17"/>
        <v>1</v>
      </c>
      <c r="G98" s="52">
        <f t="shared" si="18"/>
        <v>1</v>
      </c>
      <c r="H98" s="52">
        <f t="shared" si="19"/>
        <v>1</v>
      </c>
    </row>
    <row r="99" spans="2:10" ht="30" customHeight="1" x14ac:dyDescent="0.25">
      <c r="B99" s="47"/>
      <c r="C99" s="47" t="s">
        <v>117</v>
      </c>
      <c r="D99" s="47" t="s">
        <v>63</v>
      </c>
      <c r="E99" s="53">
        <f>E80/$E$79</f>
        <v>1.1389653529030246</v>
      </c>
      <c r="F99" s="53">
        <f t="shared" si="17"/>
        <v>1.1429552934908318</v>
      </c>
      <c r="G99" s="53">
        <f t="shared" si="18"/>
        <v>1.0931099980381325</v>
      </c>
      <c r="H99" s="53">
        <f t="shared" si="19"/>
        <v>1.1250102148106629</v>
      </c>
    </row>
    <row r="100" spans="2:10" ht="30" customHeight="1" x14ac:dyDescent="0.25">
      <c r="B100" s="44"/>
      <c r="C100" s="44" t="s">
        <v>118</v>
      </c>
      <c r="D100" s="44" t="s">
        <v>63</v>
      </c>
      <c r="E100" s="52">
        <f>E81/$E$79</f>
        <v>1.1311621415338748</v>
      </c>
      <c r="F100" s="52">
        <f t="shared" si="17"/>
        <v>1.0766128398944008</v>
      </c>
      <c r="G100" s="52">
        <f t="shared" si="18"/>
        <v>0.99858718903437349</v>
      </c>
      <c r="H100" s="52">
        <f t="shared" si="19"/>
        <v>1.0687873901542164</v>
      </c>
    </row>
    <row r="101" spans="2:10" ht="30" customHeight="1" x14ac:dyDescent="0.25">
      <c r="B101" s="47"/>
      <c r="C101" s="47" t="s">
        <v>120</v>
      </c>
      <c r="D101" s="47" t="s">
        <v>63</v>
      </c>
      <c r="E101" s="53">
        <f t="shared" ref="E101" si="20">E82/$E$79</f>
        <v>0</v>
      </c>
      <c r="F101" s="53">
        <f t="shared" si="17"/>
        <v>0</v>
      </c>
      <c r="G101" s="53">
        <f t="shared" si="18"/>
        <v>0</v>
      </c>
      <c r="H101" s="53">
        <f t="shared" si="19"/>
        <v>0</v>
      </c>
    </row>
    <row r="102" spans="2:10" ht="30" customHeight="1" x14ac:dyDescent="0.25">
      <c r="B102" s="44"/>
      <c r="C102" s="44" t="s">
        <v>119</v>
      </c>
      <c r="D102" s="44" t="s">
        <v>63</v>
      </c>
      <c r="E102" s="52">
        <f>E83/$E$79</f>
        <v>1.1063550135986899</v>
      </c>
      <c r="F102" s="52">
        <f t="shared" si="17"/>
        <v>0.98573062328122252</v>
      </c>
      <c r="G102" s="52">
        <f t="shared" si="18"/>
        <v>0.87643060241170634</v>
      </c>
      <c r="H102" s="52">
        <f t="shared" si="19"/>
        <v>0.98950541309720619</v>
      </c>
    </row>
    <row r="103" spans="2:10" ht="30" customHeight="1" x14ac:dyDescent="0.25">
      <c r="B103" s="105" t="s">
        <v>125</v>
      </c>
      <c r="C103" s="106" t="s">
        <v>124</v>
      </c>
      <c r="D103" s="59"/>
      <c r="E103" s="59"/>
      <c r="F103" s="60"/>
      <c r="G103" s="60"/>
      <c r="H103" s="89"/>
    </row>
    <row r="104" spans="2:10" ht="30" customHeight="1" x14ac:dyDescent="0.25">
      <c r="B104" s="52"/>
      <c r="C104" s="53" t="s">
        <v>122</v>
      </c>
      <c r="D104" s="53" t="s">
        <v>63</v>
      </c>
      <c r="E104" s="53">
        <f>E85/$E$79</f>
        <v>1.5728850364244225</v>
      </c>
      <c r="F104" s="53">
        <f>F85/$F$79</f>
        <v>1.3502270640032055</v>
      </c>
      <c r="G104" s="53">
        <f>G85/$G$79</f>
        <v>0.94824190921968265</v>
      </c>
      <c r="H104" s="53">
        <v>0.94824190921968265</v>
      </c>
    </row>
    <row r="105" spans="2:10" ht="30" customHeight="1" x14ac:dyDescent="0.25">
      <c r="B105" s="53"/>
      <c r="C105" s="52" t="s">
        <v>123</v>
      </c>
      <c r="D105" s="52" t="s">
        <v>63</v>
      </c>
      <c r="E105" s="52">
        <f t="shared" ref="E105:E106" si="21">E86/$E$79</f>
        <v>1.357258726273959</v>
      </c>
      <c r="F105" s="52">
        <f t="shared" ref="F105:F106" si="22">F86/$F$79</f>
        <v>1.208308865973005</v>
      </c>
      <c r="G105" s="52">
        <f t="shared" ref="G105:G106" si="23">G86/$G$79</f>
        <v>0.94846975809255574</v>
      </c>
      <c r="H105" s="52">
        <v>0.94846975809255574</v>
      </c>
    </row>
    <row r="106" spans="2:10" ht="30" customHeight="1" x14ac:dyDescent="0.25">
      <c r="B106" s="52"/>
      <c r="C106" s="53" t="s">
        <v>121</v>
      </c>
      <c r="D106" s="53" t="s">
        <v>63</v>
      </c>
      <c r="E106" s="53">
        <f t="shared" si="21"/>
        <v>1.0879992905031337</v>
      </c>
      <c r="F106" s="53">
        <f t="shared" si="22"/>
        <v>0.76800449708357998</v>
      </c>
      <c r="G106" s="53">
        <f t="shared" si="23"/>
        <v>0.85729514388952233</v>
      </c>
      <c r="H106" s="53">
        <v>0.85729514388952199</v>
      </c>
    </row>
    <row r="107" spans="2:10" ht="30" customHeight="1" x14ac:dyDescent="0.25">
      <c r="G107"/>
    </row>
    <row r="108" spans="2:10" ht="30" customHeight="1" x14ac:dyDescent="0.25">
      <c r="B108" s="107" t="s">
        <v>55</v>
      </c>
      <c r="C108" s="108"/>
      <c r="D108" s="108"/>
      <c r="E108" s="41"/>
      <c r="F108" s="41"/>
      <c r="G108" s="41"/>
      <c r="H108" s="42"/>
    </row>
    <row r="109" spans="2:10" ht="9.9499999999999993" customHeight="1" x14ac:dyDescent="0.25">
      <c r="B109" s="32"/>
      <c r="H109" s="33"/>
    </row>
    <row r="110" spans="2:10" ht="30" customHeight="1" x14ac:dyDescent="0.25">
      <c r="B110" s="32"/>
      <c r="C110" s="105" t="s">
        <v>10</v>
      </c>
      <c r="D110" s="106"/>
      <c r="E110" s="59"/>
      <c r="F110" s="59"/>
      <c r="G110" s="60"/>
      <c r="H110" s="60"/>
    </row>
    <row r="111" spans="2:10" ht="30" customHeight="1" x14ac:dyDescent="0.25">
      <c r="B111" s="32"/>
      <c r="C111" s="30" t="s">
        <v>1</v>
      </c>
      <c r="D111" s="30" t="s">
        <v>2</v>
      </c>
      <c r="E111" s="31">
        <v>1401</v>
      </c>
      <c r="F111" s="31">
        <v>1402</v>
      </c>
      <c r="G111" s="31">
        <v>1403</v>
      </c>
      <c r="H111" s="31">
        <v>1404</v>
      </c>
    </row>
    <row r="112" spans="2:10" ht="30" customHeight="1" x14ac:dyDescent="0.25">
      <c r="B112" s="32"/>
      <c r="C112" s="44" t="s">
        <v>114</v>
      </c>
      <c r="D112" s="44" t="s">
        <v>6</v>
      </c>
      <c r="E112" s="44">
        <v>3023510</v>
      </c>
      <c r="F112" s="44">
        <v>3309128</v>
      </c>
      <c r="G112" s="44">
        <v>5990484</v>
      </c>
      <c r="H112" s="44">
        <f>H41*H77/1000000</f>
        <v>9094931.6670217365</v>
      </c>
    </row>
    <row r="113" spans="2:8" ht="30" customHeight="1" x14ac:dyDescent="0.25">
      <c r="B113" s="32"/>
      <c r="C113" s="47" t="s">
        <v>115</v>
      </c>
      <c r="D113" s="47" t="s">
        <v>6</v>
      </c>
      <c r="E113" s="47">
        <v>4788045</v>
      </c>
      <c r="F113" s="47">
        <v>5450293</v>
      </c>
      <c r="G113" s="47">
        <v>7592610</v>
      </c>
      <c r="H113" s="47">
        <f>H42*H78/1000000</f>
        <v>13062440.498403614</v>
      </c>
    </row>
    <row r="114" spans="2:8" ht="30" customHeight="1" x14ac:dyDescent="0.25">
      <c r="B114" s="32"/>
      <c r="C114" s="44" t="s">
        <v>116</v>
      </c>
      <c r="D114" s="44" t="s">
        <v>6</v>
      </c>
      <c r="E114" s="44">
        <v>1635038</v>
      </c>
      <c r="F114" s="44">
        <v>4638285</v>
      </c>
      <c r="G114" s="44">
        <v>7248370</v>
      </c>
      <c r="H114" s="44">
        <f>H43*H79/1000000</f>
        <v>11589039.990640301</v>
      </c>
    </row>
    <row r="115" spans="2:8" ht="30" customHeight="1" x14ac:dyDescent="0.25">
      <c r="B115" s="32"/>
      <c r="C115" s="47" t="s">
        <v>117</v>
      </c>
      <c r="D115" s="47" t="s">
        <v>6</v>
      </c>
      <c r="E115" s="47">
        <v>884411</v>
      </c>
      <c r="F115" s="47">
        <v>3093375</v>
      </c>
      <c r="G115" s="47">
        <v>4187874</v>
      </c>
      <c r="H115" s="47">
        <f t="shared" ref="H115:H118" si="24">H44*H80/1000000</f>
        <v>6891175.2558082528</v>
      </c>
    </row>
    <row r="116" spans="2:8" ht="30" customHeight="1" x14ac:dyDescent="0.25">
      <c r="B116" s="32"/>
      <c r="C116" s="44" t="s">
        <v>118</v>
      </c>
      <c r="D116" s="44" t="s">
        <v>6</v>
      </c>
      <c r="E116" s="44">
        <v>1213554</v>
      </c>
      <c r="F116" s="44">
        <v>1246758</v>
      </c>
      <c r="G116" s="44">
        <v>1458109</v>
      </c>
      <c r="H116" s="44">
        <f t="shared" si="24"/>
        <v>2495183.0194459609</v>
      </c>
    </row>
    <row r="117" spans="2:8" ht="30" customHeight="1" x14ac:dyDescent="0.25">
      <c r="B117" s="32"/>
      <c r="C117" s="47" t="s">
        <v>120</v>
      </c>
      <c r="D117" s="47" t="s">
        <v>6</v>
      </c>
      <c r="E117" s="47">
        <v>0</v>
      </c>
      <c r="F117" s="47">
        <v>0</v>
      </c>
      <c r="G117" s="47">
        <v>0</v>
      </c>
      <c r="H117" s="47">
        <f t="shared" si="24"/>
        <v>0</v>
      </c>
    </row>
    <row r="118" spans="2:8" ht="30" customHeight="1" x14ac:dyDescent="0.25">
      <c r="B118" s="32"/>
      <c r="C118" s="44" t="s">
        <v>119</v>
      </c>
      <c r="D118" s="44" t="s">
        <v>6</v>
      </c>
      <c r="E118" s="44">
        <v>382006</v>
      </c>
      <c r="F118" s="44">
        <v>378089</v>
      </c>
      <c r="G118" s="44">
        <v>1183681</v>
      </c>
      <c r="H118" s="44">
        <f t="shared" si="24"/>
        <v>2136694.4047305174</v>
      </c>
    </row>
    <row r="119" spans="2:8" ht="30" customHeight="1" x14ac:dyDescent="0.25">
      <c r="B119" s="32"/>
      <c r="C119" s="105" t="s">
        <v>16</v>
      </c>
      <c r="D119" s="106"/>
      <c r="E119" s="59"/>
      <c r="F119" s="59"/>
      <c r="G119" s="60"/>
      <c r="H119" s="60"/>
    </row>
    <row r="120" spans="2:8" ht="30" customHeight="1" x14ac:dyDescent="0.25">
      <c r="B120" s="32"/>
      <c r="C120" s="44" t="s">
        <v>122</v>
      </c>
      <c r="D120" s="44" t="s">
        <v>6</v>
      </c>
      <c r="E120" s="44">
        <v>178265</v>
      </c>
      <c r="F120" s="44">
        <v>253514</v>
      </c>
      <c r="G120" s="44">
        <v>390772</v>
      </c>
      <c r="H120" s="44">
        <f>H49*H85/1000000</f>
        <v>649736.69025970646</v>
      </c>
    </row>
    <row r="121" spans="2:8" ht="30" customHeight="1" x14ac:dyDescent="0.25">
      <c r="B121" s="32"/>
      <c r="C121" s="47" t="s">
        <v>123</v>
      </c>
      <c r="D121" s="47" t="s">
        <v>6</v>
      </c>
      <c r="E121" s="47">
        <v>24605</v>
      </c>
      <c r="F121" s="47">
        <v>184551</v>
      </c>
      <c r="G121" s="47">
        <v>971267</v>
      </c>
      <c r="H121" s="47">
        <f>H50*H86/1000000</f>
        <v>1614925.8682880909</v>
      </c>
    </row>
    <row r="122" spans="2:8" ht="30" customHeight="1" x14ac:dyDescent="0.25">
      <c r="B122" s="32"/>
      <c r="C122" s="44" t="s">
        <v>121</v>
      </c>
      <c r="D122" s="44" t="s">
        <v>6</v>
      </c>
      <c r="E122" s="44">
        <v>0</v>
      </c>
      <c r="F122" s="44">
        <v>74231</v>
      </c>
      <c r="G122" s="44">
        <v>572991</v>
      </c>
      <c r="H122" s="44">
        <f>H51*H87/1000000</f>
        <v>926180.52329133288</v>
      </c>
    </row>
    <row r="123" spans="2:8" ht="30" customHeight="1" x14ac:dyDescent="0.25">
      <c r="B123" s="32"/>
      <c r="C123" s="24" t="s">
        <v>4</v>
      </c>
      <c r="D123" s="25"/>
      <c r="E123" s="25">
        <f>SUBTOTAL(109,درآمد!$E$112:$E$118)+SUBTOTAL(109,درآمد!$E$120:$E$122)</f>
        <v>12129434</v>
      </c>
      <c r="F123" s="25">
        <f>SUBTOTAL(109,درآمد!$F$112:$F$118)+SUBTOTAL(109,درآمد!$F$120:$F$122)</f>
        <v>18628224</v>
      </c>
      <c r="G123" s="26">
        <f>SUBTOTAL(109,درآمد!$G$112:$G$118)+SUBTOTAL(109,درآمد!$G$120:$G$122)</f>
        <v>29596158</v>
      </c>
      <c r="H123" s="26">
        <f>SUBTOTAL(109,$H$112:$H$118)+SUBTOTAL(109,$H$120:$H$122)</f>
        <v>48460307.917889521</v>
      </c>
    </row>
    <row r="124" spans="2:8" ht="5.0999999999999996" customHeight="1" x14ac:dyDescent="0.25">
      <c r="B124" s="32"/>
    </row>
    <row r="129" ht="9.9499999999999993" customHeight="1" x14ac:dyDescent="0.25"/>
    <row r="149" ht="9.9499999999999993" customHeight="1" x14ac:dyDescent="0.25"/>
  </sheetData>
  <mergeCells count="21">
    <mergeCell ref="C57:D57"/>
    <mergeCell ref="C13:D13"/>
    <mergeCell ref="C4:D4"/>
    <mergeCell ref="B2:D2"/>
    <mergeCell ref="B55:D55"/>
    <mergeCell ref="C48:D48"/>
    <mergeCell ref="C39:D39"/>
    <mergeCell ref="B37:D37"/>
    <mergeCell ref="B22:D22"/>
    <mergeCell ref="C84:D84"/>
    <mergeCell ref="C75:D75"/>
    <mergeCell ref="B73:D73"/>
    <mergeCell ref="C66:D66"/>
    <mergeCell ref="B89:D89"/>
    <mergeCell ref="C119:D119"/>
    <mergeCell ref="C110:D110"/>
    <mergeCell ref="B108:D108"/>
    <mergeCell ref="B90:C90"/>
    <mergeCell ref="B94:D94"/>
    <mergeCell ref="B95:C95"/>
    <mergeCell ref="B103:C10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851B-6FB9-4DF7-8483-FD5760127BD5}">
  <dimension ref="B2:N102"/>
  <sheetViews>
    <sheetView showGridLines="0" rightToLeft="1" tabSelected="1" topLeftCell="A13" workbookViewId="0">
      <selection activeCell="M21" sqref="M21"/>
    </sheetView>
  </sheetViews>
  <sheetFormatPr defaultRowHeight="30" customHeight="1" x14ac:dyDescent="0.25"/>
  <cols>
    <col min="1" max="2" width="5.7109375" style="1" customWidth="1"/>
    <col min="3" max="3" width="25.7109375" style="1" customWidth="1"/>
    <col min="4" max="4" width="11" style="1" customWidth="1"/>
    <col min="5" max="8" width="15.7109375" style="1" customWidth="1"/>
    <col min="9" max="9" width="5" style="1" customWidth="1"/>
    <col min="10" max="16384" width="9.140625" style="1"/>
  </cols>
  <sheetData>
    <row r="2" spans="2:9" ht="30" customHeight="1" x14ac:dyDescent="0.25">
      <c r="B2" s="107" t="s">
        <v>18</v>
      </c>
      <c r="C2" s="108"/>
      <c r="D2" s="108"/>
      <c r="E2" s="41"/>
      <c r="F2" s="41"/>
      <c r="G2" s="41"/>
      <c r="H2" s="41"/>
      <c r="I2" s="42"/>
    </row>
    <row r="3" spans="2:9" ht="9.9499999999999993" customHeight="1" x14ac:dyDescent="0.25">
      <c r="B3" s="32"/>
      <c r="I3" s="33"/>
    </row>
    <row r="4" spans="2:9" ht="30" customHeight="1" x14ac:dyDescent="0.25">
      <c r="B4" s="32"/>
      <c r="C4" s="30" t="s">
        <v>1</v>
      </c>
      <c r="D4" s="30" t="s">
        <v>2</v>
      </c>
      <c r="E4" s="31">
        <v>1401</v>
      </c>
      <c r="F4" s="31">
        <v>1402</v>
      </c>
      <c r="G4" s="31">
        <v>1403</v>
      </c>
      <c r="H4" s="31">
        <v>1404</v>
      </c>
      <c r="I4" s="33"/>
    </row>
    <row r="5" spans="2:9" ht="30" customHeight="1" x14ac:dyDescent="0.25">
      <c r="B5" s="32"/>
      <c r="C5" s="44" t="s">
        <v>64</v>
      </c>
      <c r="D5" s="44" t="s">
        <v>3</v>
      </c>
      <c r="E5" s="44">
        <v>2294583</v>
      </c>
      <c r="F5" s="44">
        <v>2681646</v>
      </c>
      <c r="G5" s="44">
        <v>2558639</v>
      </c>
      <c r="H5" s="44">
        <f>H12*H21</f>
        <v>2443682.567894693</v>
      </c>
      <c r="I5" s="33"/>
    </row>
    <row r="6" spans="2:9" ht="30" customHeight="1" x14ac:dyDescent="0.25">
      <c r="B6" s="32"/>
      <c r="C6" s="47" t="s">
        <v>126</v>
      </c>
      <c r="D6" s="47" t="s">
        <v>3</v>
      </c>
      <c r="E6" s="47">
        <v>67502</v>
      </c>
      <c r="F6" s="47">
        <v>81015</v>
      </c>
      <c r="G6" s="47">
        <v>80937</v>
      </c>
      <c r="H6" s="44">
        <f>H13*H22</f>
        <v>75247.582147688037</v>
      </c>
      <c r="I6" s="33"/>
    </row>
    <row r="7" spans="2:9" ht="30" customHeight="1" x14ac:dyDescent="0.25">
      <c r="B7" s="32"/>
      <c r="C7" s="44" t="s">
        <v>127</v>
      </c>
      <c r="D7" s="44" t="s">
        <v>3</v>
      </c>
      <c r="E7" s="44">
        <v>48082</v>
      </c>
      <c r="F7" s="44">
        <v>47669</v>
      </c>
      <c r="G7" s="44">
        <v>43660</v>
      </c>
      <c r="H7" s="44">
        <f>H12*H23</f>
        <v>45363.582744021936</v>
      </c>
      <c r="I7" s="33"/>
    </row>
    <row r="8" spans="2:9" ht="30" customHeight="1" x14ac:dyDescent="0.25">
      <c r="B8" s="32"/>
      <c r="C8" s="47" t="s">
        <v>128</v>
      </c>
      <c r="D8" s="47" t="s">
        <v>3</v>
      </c>
      <c r="E8" s="47">
        <v>465951</v>
      </c>
      <c r="F8" s="47">
        <v>441275</v>
      </c>
      <c r="G8" s="47">
        <v>427701</v>
      </c>
      <c r="H8" s="47">
        <f>H12*H24</f>
        <v>434637.29727920401</v>
      </c>
      <c r="I8" s="33"/>
    </row>
    <row r="9" spans="2:9" ht="30" customHeight="1" x14ac:dyDescent="0.25">
      <c r="B9" s="32"/>
      <c r="C9" s="47" t="s">
        <v>113</v>
      </c>
      <c r="D9" s="47" t="s">
        <v>3</v>
      </c>
      <c r="E9" s="47">
        <v>56763</v>
      </c>
      <c r="F9" s="47">
        <v>0</v>
      </c>
      <c r="G9" s="47">
        <v>0</v>
      </c>
      <c r="H9" s="47">
        <f>H12*H25</f>
        <v>0</v>
      </c>
      <c r="I9" s="33"/>
    </row>
    <row r="10" spans="2:9" ht="30" customHeight="1" x14ac:dyDescent="0.25">
      <c r="B10" s="32"/>
      <c r="C10" s="44" t="s">
        <v>129</v>
      </c>
      <c r="D10" s="44" t="s">
        <v>131</v>
      </c>
      <c r="E10" s="44">
        <v>22049347</v>
      </c>
      <c r="F10" s="44">
        <v>21703880</v>
      </c>
      <c r="G10" s="44">
        <v>21152525</v>
      </c>
      <c r="H10" s="44">
        <f>H14*H26</f>
        <v>20199082.169306163</v>
      </c>
      <c r="I10" s="33"/>
    </row>
    <row r="11" spans="2:9" ht="30" customHeight="1" x14ac:dyDescent="0.25">
      <c r="B11" s="32"/>
      <c r="C11" s="49" t="s">
        <v>23</v>
      </c>
      <c r="D11" s="50"/>
      <c r="E11" s="50">
        <f>SUBTOTAL(109,'بهای تمام شده'!$E$5:$E$10)</f>
        <v>24982228</v>
      </c>
      <c r="F11" s="50">
        <f>SUBTOTAL(109,'بهای تمام شده'!$F$5:$F$10)</f>
        <v>24955485</v>
      </c>
      <c r="G11" s="51">
        <f>SUBTOTAL(109,'بهای تمام شده'!$G$5:$G$10)</f>
        <v>24263462</v>
      </c>
      <c r="H11" s="51">
        <f>SUBTOTAL(109,H5:H10)</f>
        <v>23198013.19937177</v>
      </c>
      <c r="I11" s="33"/>
    </row>
    <row r="12" spans="2:9" ht="30" customHeight="1" x14ac:dyDescent="0.25">
      <c r="B12" s="32"/>
      <c r="C12" s="37" t="s">
        <v>101</v>
      </c>
      <c r="D12" s="37"/>
      <c r="E12" s="37">
        <f>درآمد!E18</f>
        <v>1751474</v>
      </c>
      <c r="F12" s="37">
        <f>درآمد!F18</f>
        <v>1932395</v>
      </c>
      <c r="G12" s="37">
        <f>درآمد!G18</f>
        <v>1881733</v>
      </c>
      <c r="H12" s="37">
        <f>درآمد!H18</f>
        <v>1806770</v>
      </c>
      <c r="I12" s="33"/>
    </row>
    <row r="13" spans="2:9" ht="31.5" customHeight="1" x14ac:dyDescent="0.25">
      <c r="B13" s="32"/>
      <c r="C13" s="37" t="s">
        <v>100</v>
      </c>
      <c r="D13" s="37"/>
      <c r="E13" s="37">
        <f>درآمد!E19</f>
        <v>1810579</v>
      </c>
      <c r="F13" s="37">
        <f>درآمد!F19</f>
        <v>2000716</v>
      </c>
      <c r="G13" s="37">
        <f>درآمد!G19</f>
        <v>1982280</v>
      </c>
      <c r="H13" s="37">
        <f>درآمد!H19</f>
        <v>1903311.4876552625</v>
      </c>
      <c r="I13" s="33"/>
    </row>
    <row r="14" spans="2:9" ht="31.5" customHeight="1" x14ac:dyDescent="0.25">
      <c r="B14" s="32"/>
      <c r="C14" s="37" t="s">
        <v>130</v>
      </c>
      <c r="D14" s="37"/>
      <c r="E14" s="37">
        <f>درآمد!E7+درآمد!E9+درآمد!E10+درآمد!E12+درآمد!E14</f>
        <v>1028691</v>
      </c>
      <c r="F14" s="37">
        <f>درآمد!F7+درآمد!F9+درآمد!F10+درآمد!F12+درآمد!F14</f>
        <v>1075072</v>
      </c>
      <c r="G14" s="37">
        <f>درآمد!G7+درآمد!G9+درآمد!G10+درآمد!G12+درآمد!G14</f>
        <v>1008078</v>
      </c>
      <c r="H14" s="37">
        <f>درآمد!H7+درآمد!H9+درآمد!H10+درآمد!H12+درآمد!H14</f>
        <v>967918.98109880625</v>
      </c>
      <c r="I14" s="33"/>
    </row>
    <row r="15" spans="2:9" ht="30" customHeight="1" x14ac:dyDescent="0.25">
      <c r="B15" s="32"/>
      <c r="C15" s="37" t="s">
        <v>19</v>
      </c>
      <c r="D15" s="37"/>
      <c r="E15" s="37">
        <f>درآمد!$E$52</f>
        <v>1817317</v>
      </c>
      <c r="F15" s="37">
        <f>درآمد!$F$52</f>
        <v>2006644</v>
      </c>
      <c r="G15" s="37">
        <f>درآمد!$G$52</f>
        <v>1972636</v>
      </c>
      <c r="H15" s="37">
        <f>درآمد!H52</f>
        <v>1903311.4876552625</v>
      </c>
      <c r="I15" s="33"/>
    </row>
    <row r="16" spans="2:9" ht="30" customHeight="1" x14ac:dyDescent="0.25">
      <c r="B16" s="34"/>
      <c r="C16" s="35"/>
      <c r="D16" s="35"/>
      <c r="E16" s="35"/>
      <c r="F16" s="35"/>
      <c r="G16" s="35"/>
      <c r="H16" s="35"/>
      <c r="I16" s="36"/>
    </row>
    <row r="18" spans="2:11" ht="30" customHeight="1" x14ac:dyDescent="0.25">
      <c r="B18" s="107" t="s">
        <v>20</v>
      </c>
      <c r="C18" s="108"/>
      <c r="D18" s="108"/>
      <c r="E18" s="41"/>
      <c r="F18" s="41"/>
      <c r="G18" s="41"/>
      <c r="H18" s="41"/>
      <c r="I18" s="42"/>
    </row>
    <row r="19" spans="2:11" ht="9.9499999999999993" customHeight="1" x14ac:dyDescent="0.25">
      <c r="B19" s="32"/>
      <c r="I19" s="33"/>
    </row>
    <row r="20" spans="2:11" ht="30" customHeight="1" x14ac:dyDescent="0.25">
      <c r="B20" s="32"/>
      <c r="C20" s="30" t="s">
        <v>1</v>
      </c>
      <c r="D20" s="30" t="s">
        <v>2</v>
      </c>
      <c r="E20" s="31">
        <v>1401</v>
      </c>
      <c r="F20" s="31">
        <v>1402</v>
      </c>
      <c r="G20" s="31">
        <v>1403</v>
      </c>
      <c r="H20" s="31">
        <v>1404</v>
      </c>
      <c r="I20" s="33"/>
    </row>
    <row r="21" spans="2:11" ht="30" customHeight="1" x14ac:dyDescent="0.25">
      <c r="B21" s="32"/>
      <c r="C21" s="43" t="s">
        <v>64</v>
      </c>
      <c r="D21" s="44" t="s">
        <v>63</v>
      </c>
      <c r="E21" s="52">
        <f>E5/E12</f>
        <v>1.3100868183027552</v>
      </c>
      <c r="F21" s="52">
        <f t="shared" ref="E21:G22" si="0">F5/F12</f>
        <v>1.3877318043153704</v>
      </c>
      <c r="G21" s="52">
        <f t="shared" si="0"/>
        <v>1.3597247856098607</v>
      </c>
      <c r="H21" s="52">
        <f>AVERAGE(E21:G21)</f>
        <v>1.3525144694093287</v>
      </c>
      <c r="I21" s="33"/>
      <c r="K21" s="78"/>
    </row>
    <row r="22" spans="2:11" ht="30" customHeight="1" x14ac:dyDescent="0.25">
      <c r="B22" s="32"/>
      <c r="C22" s="46" t="s">
        <v>126</v>
      </c>
      <c r="D22" s="47" t="s">
        <v>63</v>
      </c>
      <c r="E22" s="53">
        <f t="shared" si="0"/>
        <v>3.7281996532600899E-2</v>
      </c>
      <c r="F22" s="53">
        <f t="shared" si="0"/>
        <v>4.0493003504745301E-2</v>
      </c>
      <c r="G22" s="53">
        <f t="shared" si="0"/>
        <v>4.0830256068769298E-2</v>
      </c>
      <c r="H22" s="53">
        <f>AVERAGE(E22:G22)</f>
        <v>3.9535085368705168E-2</v>
      </c>
      <c r="I22" s="33"/>
      <c r="K22" s="78"/>
    </row>
    <row r="23" spans="2:11" ht="30" customHeight="1" x14ac:dyDescent="0.25">
      <c r="B23" s="32"/>
      <c r="C23" s="43" t="s">
        <v>127</v>
      </c>
      <c r="D23" s="44" t="s">
        <v>63</v>
      </c>
      <c r="E23" s="52">
        <f>E7/E12</f>
        <v>2.745230588635629E-2</v>
      </c>
      <c r="F23" s="52">
        <f>F7/F12</f>
        <v>2.466835196737727E-2</v>
      </c>
      <c r="G23" s="52">
        <f>G7/G12</f>
        <v>2.3202016439101615E-2</v>
      </c>
      <c r="H23" s="52">
        <f>AVERAGE(E23:G23)</f>
        <v>2.5107558097611726E-2</v>
      </c>
      <c r="I23" s="33"/>
      <c r="K23" s="78"/>
    </row>
    <row r="24" spans="2:11" ht="30" customHeight="1" x14ac:dyDescent="0.25">
      <c r="B24" s="32"/>
      <c r="C24" s="46" t="s">
        <v>128</v>
      </c>
      <c r="D24" s="47" t="s">
        <v>63</v>
      </c>
      <c r="E24" s="53">
        <f>E8/E12</f>
        <v>0.26603363795294704</v>
      </c>
      <c r="F24" s="53">
        <f>F8/F12</f>
        <v>0.22835652131163658</v>
      </c>
      <c r="G24" s="53">
        <f>G8/G12</f>
        <v>0.22729101312460376</v>
      </c>
      <c r="H24" s="53">
        <f>AVERAGE(E24:G24)</f>
        <v>0.2405603907963958</v>
      </c>
      <c r="I24" s="33"/>
      <c r="K24" s="78"/>
    </row>
    <row r="25" spans="2:11" ht="30" customHeight="1" x14ac:dyDescent="0.25">
      <c r="B25" s="32"/>
      <c r="C25" s="46" t="s">
        <v>113</v>
      </c>
      <c r="D25" s="47" t="s">
        <v>63</v>
      </c>
      <c r="E25" s="53">
        <f>E9/E12</f>
        <v>3.2408702612770728E-2</v>
      </c>
      <c r="F25" s="53">
        <f>F9/F12</f>
        <v>0</v>
      </c>
      <c r="G25" s="53">
        <f>G9/G12</f>
        <v>0</v>
      </c>
      <c r="H25" s="53">
        <v>0</v>
      </c>
      <c r="I25" s="33"/>
      <c r="K25" s="78"/>
    </row>
    <row r="26" spans="2:11" ht="30" customHeight="1" x14ac:dyDescent="0.25">
      <c r="B26" s="32"/>
      <c r="C26" s="43" t="s">
        <v>129</v>
      </c>
      <c r="D26" s="44" t="s">
        <v>131</v>
      </c>
      <c r="E26" s="93">
        <f>E10/E14</f>
        <v>21.434373392981954</v>
      </c>
      <c r="F26" s="93">
        <f>F10/F14</f>
        <v>20.188303667103227</v>
      </c>
      <c r="G26" s="93">
        <f>G10/G14</f>
        <v>20.983024131069222</v>
      </c>
      <c r="H26" s="93">
        <f>AVERAGE(E26:G26)</f>
        <v>20.868567063718135</v>
      </c>
      <c r="I26" s="33"/>
      <c r="K26" s="78"/>
    </row>
    <row r="27" spans="2:11" ht="30" customHeight="1" x14ac:dyDescent="0.25">
      <c r="B27" s="34"/>
      <c r="C27" s="35"/>
      <c r="D27" s="35"/>
      <c r="E27" s="35"/>
      <c r="F27" s="35"/>
      <c r="G27" s="35"/>
      <c r="H27" s="35"/>
      <c r="I27" s="36"/>
    </row>
    <row r="29" spans="2:11" ht="30" customHeight="1" x14ac:dyDescent="0.25">
      <c r="B29" s="107" t="s">
        <v>21</v>
      </c>
      <c r="C29" s="108"/>
      <c r="D29" s="108"/>
      <c r="E29" s="41"/>
      <c r="F29" s="41"/>
      <c r="G29" s="41"/>
      <c r="H29" s="41"/>
      <c r="I29" s="42"/>
    </row>
    <row r="30" spans="2:11" ht="9.9499999999999993" customHeight="1" x14ac:dyDescent="0.25">
      <c r="B30" s="32"/>
      <c r="I30" s="33"/>
    </row>
    <row r="31" spans="2:11" ht="30" customHeight="1" x14ac:dyDescent="0.25">
      <c r="B31" s="32"/>
      <c r="C31" s="30" t="s">
        <v>1</v>
      </c>
      <c r="D31" s="30" t="s">
        <v>2</v>
      </c>
      <c r="E31" s="31">
        <v>1401</v>
      </c>
      <c r="F31" s="31">
        <v>1402</v>
      </c>
      <c r="G31" s="31">
        <v>1403</v>
      </c>
      <c r="H31" s="31">
        <v>1404</v>
      </c>
      <c r="I31" s="33"/>
    </row>
    <row r="32" spans="2:11" ht="30" customHeight="1" x14ac:dyDescent="0.25">
      <c r="B32" s="32"/>
      <c r="C32" s="44" t="s">
        <v>64</v>
      </c>
      <c r="D32" s="44" t="s">
        <v>6</v>
      </c>
      <c r="E32" s="44">
        <v>371566</v>
      </c>
      <c r="F32" s="44">
        <v>530925</v>
      </c>
      <c r="G32" s="44">
        <v>712188</v>
      </c>
      <c r="H32" s="44">
        <f>G32*(1+مفروضات!$E$10)</f>
        <v>997063.2</v>
      </c>
      <c r="I32" s="33"/>
    </row>
    <row r="33" spans="2:9" ht="30" customHeight="1" x14ac:dyDescent="0.25">
      <c r="B33" s="32"/>
      <c r="C33" s="47" t="s">
        <v>126</v>
      </c>
      <c r="D33" s="47" t="s">
        <v>6</v>
      </c>
      <c r="E33" s="47">
        <v>862508</v>
      </c>
      <c r="F33" s="47">
        <v>1216417</v>
      </c>
      <c r="G33" s="47">
        <v>1813929</v>
      </c>
      <c r="H33" s="47">
        <f>G33*(1+مفروضات!$E$10)</f>
        <v>2539500.5999999996</v>
      </c>
      <c r="I33" s="33"/>
    </row>
    <row r="34" spans="2:9" ht="30" customHeight="1" x14ac:dyDescent="0.25">
      <c r="B34" s="32"/>
      <c r="C34" s="44" t="s">
        <v>127</v>
      </c>
      <c r="D34" s="44" t="s">
        <v>6</v>
      </c>
      <c r="E34" s="44">
        <v>1919180</v>
      </c>
      <c r="F34" s="44">
        <v>3008035</v>
      </c>
      <c r="G34" s="44">
        <v>3643266</v>
      </c>
      <c r="H34" s="44">
        <f>G34*(1+مفروضات!$E$10)</f>
        <v>5100572.3999999994</v>
      </c>
      <c r="I34" s="33"/>
    </row>
    <row r="35" spans="2:9" ht="30" customHeight="1" x14ac:dyDescent="0.25">
      <c r="B35" s="32"/>
      <c r="C35" s="47" t="s">
        <v>128</v>
      </c>
      <c r="D35" s="47" t="s">
        <v>6</v>
      </c>
      <c r="E35" s="47">
        <v>155480</v>
      </c>
      <c r="F35" s="47">
        <v>175895</v>
      </c>
      <c r="G35" s="47">
        <v>246282</v>
      </c>
      <c r="H35" s="47">
        <f>G35*(1+مفروضات!$E$10)</f>
        <v>344794.8</v>
      </c>
      <c r="I35" s="33"/>
    </row>
    <row r="36" spans="2:9" ht="30" customHeight="1" x14ac:dyDescent="0.25">
      <c r="B36" s="32"/>
      <c r="C36" s="47" t="s">
        <v>113</v>
      </c>
      <c r="D36" s="47" t="s">
        <v>6</v>
      </c>
      <c r="E36" s="47">
        <v>5145993</v>
      </c>
      <c r="F36" s="47">
        <v>5153048</v>
      </c>
      <c r="G36" s="47">
        <v>0</v>
      </c>
      <c r="H36" s="47">
        <f>G36*(1+مفروضات!$E$10)</f>
        <v>0</v>
      </c>
      <c r="I36" s="33"/>
    </row>
    <row r="37" spans="2:9" ht="30" customHeight="1" x14ac:dyDescent="0.25">
      <c r="B37" s="32"/>
      <c r="C37" s="44" t="s">
        <v>129</v>
      </c>
      <c r="D37" s="44" t="s">
        <v>6</v>
      </c>
      <c r="E37" s="44">
        <v>34860</v>
      </c>
      <c r="F37" s="44">
        <v>47068</v>
      </c>
      <c r="G37" s="44">
        <v>54243</v>
      </c>
      <c r="H37" s="44">
        <f>G37*(1+مفروضات!$E$10)</f>
        <v>75940.2</v>
      </c>
      <c r="I37" s="33"/>
    </row>
    <row r="38" spans="2:9" ht="30" customHeight="1" x14ac:dyDescent="0.25">
      <c r="B38" s="34"/>
      <c r="C38" s="35"/>
      <c r="D38" s="35"/>
      <c r="E38" s="35"/>
      <c r="F38" s="35"/>
      <c r="G38" s="35"/>
      <c r="H38" s="35"/>
      <c r="I38" s="36"/>
    </row>
    <row r="41" spans="2:9" ht="30" customHeight="1" x14ac:dyDescent="0.25">
      <c r="B41" s="107" t="s">
        <v>22</v>
      </c>
      <c r="C41" s="108"/>
      <c r="D41" s="108"/>
      <c r="E41" s="41"/>
      <c r="F41" s="41"/>
      <c r="G41" s="41"/>
      <c r="H41" s="41"/>
      <c r="I41" s="42"/>
    </row>
    <row r="42" spans="2:9" ht="9.9499999999999993" customHeight="1" x14ac:dyDescent="0.25">
      <c r="B42" s="32"/>
      <c r="I42" s="33"/>
    </row>
    <row r="43" spans="2:9" ht="30" customHeight="1" x14ac:dyDescent="0.25">
      <c r="B43" s="32"/>
      <c r="C43" s="30" t="s">
        <v>1</v>
      </c>
      <c r="D43" s="30" t="s">
        <v>2</v>
      </c>
      <c r="E43" s="31">
        <v>1401</v>
      </c>
      <c r="F43" s="31">
        <v>1402</v>
      </c>
      <c r="G43" s="31">
        <v>1403</v>
      </c>
      <c r="H43" s="31">
        <v>1404</v>
      </c>
      <c r="I43" s="33"/>
    </row>
    <row r="44" spans="2:9" ht="30" customHeight="1" x14ac:dyDescent="0.25">
      <c r="B44" s="32"/>
      <c r="C44" s="44" t="s">
        <v>64</v>
      </c>
      <c r="D44" s="44" t="s">
        <v>65</v>
      </c>
      <c r="E44" s="44">
        <v>852588</v>
      </c>
      <c r="F44" s="44">
        <v>1423752</v>
      </c>
      <c r="G44" s="44">
        <v>1822231</v>
      </c>
      <c r="H44" s="44">
        <f>(H5*H32)/1000000</f>
        <v>2436505.9609292997</v>
      </c>
      <c r="I44" s="33"/>
    </row>
    <row r="45" spans="2:9" ht="30" customHeight="1" x14ac:dyDescent="0.25">
      <c r="B45" s="32"/>
      <c r="C45" s="47" t="s">
        <v>126</v>
      </c>
      <c r="D45" s="47" t="s">
        <v>65</v>
      </c>
      <c r="E45" s="47">
        <v>58221</v>
      </c>
      <c r="F45" s="47">
        <v>98548</v>
      </c>
      <c r="G45" s="47">
        <v>146814</v>
      </c>
      <c r="H45" s="47">
        <f t="shared" ref="H45:H49" si="1">(H6*H33)/1000000</f>
        <v>191091.28001260303</v>
      </c>
      <c r="I45" s="33"/>
    </row>
    <row r="46" spans="2:9" ht="30" customHeight="1" x14ac:dyDescent="0.25">
      <c r="B46" s="32"/>
      <c r="C46" s="44" t="s">
        <v>127</v>
      </c>
      <c r="D46" s="44" t="s">
        <v>65</v>
      </c>
      <c r="E46" s="44">
        <v>92278</v>
      </c>
      <c r="F46" s="44">
        <v>143390</v>
      </c>
      <c r="G46" s="44">
        <v>159065</v>
      </c>
      <c r="H46" s="44">
        <f t="shared" si="1"/>
        <v>231380.23810927453</v>
      </c>
      <c r="I46" s="33"/>
    </row>
    <row r="47" spans="2:9" ht="30" customHeight="1" x14ac:dyDescent="0.25">
      <c r="B47" s="32"/>
      <c r="C47" s="47" t="s">
        <v>128</v>
      </c>
      <c r="D47" s="47" t="s">
        <v>65</v>
      </c>
      <c r="E47" s="47">
        <v>72446</v>
      </c>
      <c r="F47" s="47">
        <v>77618</v>
      </c>
      <c r="G47" s="47">
        <v>105335</v>
      </c>
      <c r="H47" s="47">
        <f t="shared" si="1"/>
        <v>149860.67998792368</v>
      </c>
      <c r="I47" s="33"/>
    </row>
    <row r="48" spans="2:9" ht="30" customHeight="1" x14ac:dyDescent="0.25">
      <c r="B48" s="32"/>
      <c r="C48" s="47" t="s">
        <v>113</v>
      </c>
      <c r="D48" s="47" t="s">
        <v>65</v>
      </c>
      <c r="E48" s="47">
        <v>292102</v>
      </c>
      <c r="F48" s="47">
        <v>51144</v>
      </c>
      <c r="G48" s="47">
        <v>0</v>
      </c>
      <c r="H48" s="47">
        <f t="shared" si="1"/>
        <v>0</v>
      </c>
      <c r="I48" s="33"/>
    </row>
    <row r="49" spans="2:14" ht="30" customHeight="1" x14ac:dyDescent="0.25">
      <c r="B49" s="32"/>
      <c r="C49" s="44" t="s">
        <v>129</v>
      </c>
      <c r="D49" s="44" t="s">
        <v>65</v>
      </c>
      <c r="E49" s="44">
        <v>768645</v>
      </c>
      <c r="F49" s="44">
        <v>1021558</v>
      </c>
      <c r="G49" s="44">
        <v>1147382</v>
      </c>
      <c r="H49" s="44">
        <f t="shared" si="1"/>
        <v>1533922.3397535437</v>
      </c>
      <c r="I49" s="33"/>
    </row>
    <row r="50" spans="2:14" ht="30" customHeight="1" x14ac:dyDescent="0.25">
      <c r="B50" s="32"/>
      <c r="C50" s="49" t="s">
        <v>23</v>
      </c>
      <c r="D50" s="50"/>
      <c r="E50" s="50">
        <f>SUBTOTAL(109,'بهای تمام شده'!$E$44:$E$49)</f>
        <v>2136280</v>
      </c>
      <c r="F50" s="50">
        <f>SUBTOTAL(109,'بهای تمام شده'!$F$44:$F$49)</f>
        <v>2816010</v>
      </c>
      <c r="G50" s="51">
        <f>SUBTOTAL(109,'بهای تمام شده'!$G$44:$G$49)</f>
        <v>3380827</v>
      </c>
      <c r="H50" s="37">
        <f>SUBTOTAL(109,$H$44:$H$49)</f>
        <v>4542760.4987926446</v>
      </c>
      <c r="I50" s="33"/>
      <c r="K50" s="78"/>
      <c r="L50" s="78"/>
      <c r="M50" s="78"/>
      <c r="N50" s="78"/>
    </row>
    <row r="51" spans="2:14" ht="30" customHeight="1" x14ac:dyDescent="0.25">
      <c r="B51" s="34"/>
      <c r="C51" s="35"/>
      <c r="D51" s="35"/>
      <c r="E51" s="35"/>
      <c r="F51" s="35"/>
      <c r="G51" s="35"/>
      <c r="H51" s="35"/>
      <c r="I51" s="36"/>
    </row>
    <row r="53" spans="2:14" ht="30" customHeight="1" x14ac:dyDescent="0.25">
      <c r="B53" s="107" t="s">
        <v>24</v>
      </c>
      <c r="C53" s="108"/>
      <c r="D53" s="108"/>
      <c r="E53" s="41"/>
      <c r="F53" s="41"/>
      <c r="G53" s="41"/>
      <c r="H53" s="41"/>
      <c r="I53" s="42"/>
    </row>
    <row r="54" spans="2:14" ht="9.9499999999999993" customHeight="1" x14ac:dyDescent="0.25">
      <c r="B54" s="32"/>
      <c r="I54" s="33"/>
    </row>
    <row r="55" spans="2:14" ht="30" customHeight="1" x14ac:dyDescent="0.25">
      <c r="B55" s="32"/>
      <c r="C55" s="30" t="s">
        <v>1</v>
      </c>
      <c r="D55" s="30" t="s">
        <v>2</v>
      </c>
      <c r="E55" s="31">
        <v>1401</v>
      </c>
      <c r="F55" s="31">
        <v>1402</v>
      </c>
      <c r="G55" s="31">
        <v>1403</v>
      </c>
      <c r="H55" s="31">
        <v>1404</v>
      </c>
      <c r="I55" s="33"/>
    </row>
    <row r="56" spans="2:14" ht="30" customHeight="1" x14ac:dyDescent="0.25">
      <c r="B56" s="32"/>
      <c r="C56" s="43" t="s">
        <v>66</v>
      </c>
      <c r="D56" s="44"/>
      <c r="E56" s="44">
        <v>2242197</v>
      </c>
      <c r="F56" s="44">
        <v>3173718</v>
      </c>
      <c r="G56" s="45">
        <v>4435509</v>
      </c>
      <c r="H56" s="44">
        <f>G56*(1+مفروضات!$E$10)</f>
        <v>6209712.5999999996</v>
      </c>
      <c r="I56" s="33"/>
    </row>
    <row r="57" spans="2:14" ht="30" customHeight="1" x14ac:dyDescent="0.25">
      <c r="B57" s="32"/>
      <c r="C57" s="46" t="s">
        <v>67</v>
      </c>
      <c r="D57" s="47"/>
      <c r="E57" s="47">
        <v>205935</v>
      </c>
      <c r="F57" s="47">
        <v>265605</v>
      </c>
      <c r="G57" s="48">
        <v>381921</v>
      </c>
      <c r="H57" s="47">
        <f>G57*(1+مفروضات!$E$10)</f>
        <v>534689.4</v>
      </c>
      <c r="I57" s="33"/>
    </row>
    <row r="58" spans="2:14" ht="30" customHeight="1" x14ac:dyDescent="0.25">
      <c r="B58" s="32"/>
      <c r="C58" s="43" t="s">
        <v>68</v>
      </c>
      <c r="D58" s="44"/>
      <c r="E58" s="44">
        <v>1590034</v>
      </c>
      <c r="F58" s="44">
        <v>3049392</v>
      </c>
      <c r="G58" s="45">
        <v>4182144</v>
      </c>
      <c r="H58" s="44">
        <f>'هزینه انرژی'!H35</f>
        <v>7309467.297451742</v>
      </c>
      <c r="I58" s="33"/>
    </row>
    <row r="59" spans="2:14" ht="30" customHeight="1" x14ac:dyDescent="0.25">
      <c r="B59" s="32"/>
      <c r="C59" s="46" t="s">
        <v>69</v>
      </c>
      <c r="D59" s="47"/>
      <c r="E59" s="47">
        <v>403328</v>
      </c>
      <c r="F59" s="47">
        <v>547632</v>
      </c>
      <c r="G59" s="48">
        <v>940628</v>
      </c>
      <c r="H59" s="47">
        <f>G59*(1+مفروضات!$E$10)</f>
        <v>1316879.2</v>
      </c>
      <c r="I59" s="33"/>
    </row>
    <row r="60" spans="2:14" ht="30" customHeight="1" x14ac:dyDescent="0.25">
      <c r="B60" s="32"/>
      <c r="C60" s="43" t="s">
        <v>70</v>
      </c>
      <c r="D60" s="44"/>
      <c r="E60" s="44">
        <v>0</v>
      </c>
      <c r="F60" s="44">
        <v>0</v>
      </c>
      <c r="G60" s="45">
        <v>0</v>
      </c>
      <c r="H60" s="44">
        <f>G60*(1+مفروضات!$E$10)</f>
        <v>0</v>
      </c>
      <c r="I60" s="33"/>
    </row>
    <row r="61" spans="2:14" ht="30" customHeight="1" x14ac:dyDescent="0.25">
      <c r="B61" s="32"/>
      <c r="C61" s="46" t="s">
        <v>71</v>
      </c>
      <c r="D61" s="47"/>
      <c r="E61" s="47">
        <v>0</v>
      </c>
      <c r="F61" s="47">
        <v>0</v>
      </c>
      <c r="G61" s="48">
        <v>0</v>
      </c>
      <c r="H61" s="47">
        <f>G61*(1+مفروضات!$E$10)</f>
        <v>0</v>
      </c>
      <c r="I61" s="33"/>
    </row>
    <row r="62" spans="2:14" ht="30" customHeight="1" x14ac:dyDescent="0.25">
      <c r="B62" s="32"/>
      <c r="C62" s="43" t="s">
        <v>72</v>
      </c>
      <c r="D62" s="44"/>
      <c r="E62" s="44">
        <v>0</v>
      </c>
      <c r="F62" s="44">
        <v>0</v>
      </c>
      <c r="G62" s="45">
        <v>0</v>
      </c>
      <c r="H62" s="44">
        <f>G62*(1+مفروضات!$E$10)</f>
        <v>0</v>
      </c>
      <c r="I62" s="33"/>
    </row>
    <row r="63" spans="2:14" ht="30" customHeight="1" x14ac:dyDescent="0.25">
      <c r="B63" s="32"/>
      <c r="C63" s="46" t="s">
        <v>73</v>
      </c>
      <c r="D63" s="47"/>
      <c r="E63" s="47">
        <v>0</v>
      </c>
      <c r="F63" s="47">
        <v>0</v>
      </c>
      <c r="G63" s="48">
        <v>0</v>
      </c>
      <c r="H63" s="47">
        <f>G63*(1+مفروضات!$E$10)</f>
        <v>0</v>
      </c>
      <c r="I63" s="33"/>
    </row>
    <row r="64" spans="2:14" ht="30" customHeight="1" x14ac:dyDescent="0.25">
      <c r="B64" s="32"/>
      <c r="C64" s="43" t="s">
        <v>74</v>
      </c>
      <c r="D64" s="44"/>
      <c r="E64" s="44">
        <v>0</v>
      </c>
      <c r="F64" s="44">
        <v>0</v>
      </c>
      <c r="G64" s="45">
        <v>0</v>
      </c>
      <c r="H64" s="44">
        <f>G64*(1+مفروضات!$E$10)</f>
        <v>0</v>
      </c>
      <c r="I64" s="33"/>
    </row>
    <row r="65" spans="2:9" ht="30" customHeight="1" x14ac:dyDescent="0.25">
      <c r="B65" s="32"/>
      <c r="C65" s="46" t="s">
        <v>75</v>
      </c>
      <c r="D65" s="47"/>
      <c r="E65" s="47">
        <v>856977</v>
      </c>
      <c r="F65" s="47">
        <v>1316507</v>
      </c>
      <c r="G65" s="48">
        <v>1808257</v>
      </c>
      <c r="H65" s="47">
        <f>G65*(1+مفروضات!$E$10)</f>
        <v>2531559.7999999998</v>
      </c>
      <c r="I65" s="33"/>
    </row>
    <row r="66" spans="2:9" ht="30" customHeight="1" x14ac:dyDescent="0.25">
      <c r="B66" s="32"/>
      <c r="C66" s="49" t="s">
        <v>23</v>
      </c>
      <c r="D66" s="50"/>
      <c r="E66" s="50">
        <f>SUBTOTAL(109,'بهای تمام شده'!$E$56:$E$65)</f>
        <v>5298471</v>
      </c>
      <c r="F66" s="50">
        <f>SUBTOTAL(109,'بهای تمام شده'!$F$56:$F$65)</f>
        <v>8352854</v>
      </c>
      <c r="G66" s="51">
        <f>SUBTOTAL(109,'بهای تمام شده'!$G$56:$G$65)</f>
        <v>11748459</v>
      </c>
      <c r="H66" s="37">
        <f>SUBTOTAL(109,$H$56:$H$65)</f>
        <v>17902308.297451742</v>
      </c>
      <c r="I66" s="33"/>
    </row>
    <row r="67" spans="2:9" ht="30" customHeight="1" x14ac:dyDescent="0.25">
      <c r="B67" s="34"/>
      <c r="C67" s="35"/>
      <c r="D67" s="35"/>
      <c r="E67" s="35"/>
      <c r="F67" s="35"/>
      <c r="G67" s="35"/>
      <c r="H67" s="35"/>
      <c r="I67" s="36"/>
    </row>
    <row r="69" spans="2:9" ht="30" customHeight="1" x14ac:dyDescent="0.25">
      <c r="B69" s="107" t="s">
        <v>25</v>
      </c>
      <c r="C69" s="108"/>
      <c r="D69" s="108"/>
      <c r="E69" s="41"/>
      <c r="F69" s="41"/>
      <c r="G69" s="41"/>
      <c r="H69" s="41"/>
      <c r="I69" s="42"/>
    </row>
    <row r="70" spans="2:9" ht="9.9499999999999993" customHeight="1" x14ac:dyDescent="0.25">
      <c r="B70" s="32"/>
      <c r="I70" s="33"/>
    </row>
    <row r="71" spans="2:9" ht="30" customHeight="1" x14ac:dyDescent="0.25">
      <c r="B71" s="32"/>
      <c r="C71" s="30" t="s">
        <v>1</v>
      </c>
      <c r="D71" s="30" t="s">
        <v>2</v>
      </c>
      <c r="E71" s="31">
        <v>1401</v>
      </c>
      <c r="F71" s="31">
        <v>1402</v>
      </c>
      <c r="G71" s="31">
        <v>1403</v>
      </c>
      <c r="H71" s="31">
        <v>1404</v>
      </c>
      <c r="I71" s="33"/>
    </row>
    <row r="72" spans="2:9" ht="30" customHeight="1" x14ac:dyDescent="0.25">
      <c r="B72" s="32"/>
      <c r="C72" s="43" t="s">
        <v>66</v>
      </c>
      <c r="D72" s="44"/>
      <c r="E72" s="44">
        <v>407601</v>
      </c>
      <c r="F72" s="44">
        <v>529859</v>
      </c>
      <c r="G72" s="45">
        <v>820019</v>
      </c>
      <c r="H72" s="44">
        <f>G72*(1+مفروضات!$E$10)</f>
        <v>1148026.5999999999</v>
      </c>
      <c r="I72" s="33"/>
    </row>
    <row r="73" spans="2:9" ht="30" customHeight="1" x14ac:dyDescent="0.25">
      <c r="B73" s="32"/>
      <c r="C73" s="46" t="s">
        <v>67</v>
      </c>
      <c r="D73" s="47"/>
      <c r="E73" s="47">
        <v>4145</v>
      </c>
      <c r="F73" s="47">
        <v>7161</v>
      </c>
      <c r="G73" s="48">
        <v>10968</v>
      </c>
      <c r="H73" s="47">
        <f>G73*(1+مفروضات!$E$10)</f>
        <v>15355.199999999999</v>
      </c>
      <c r="I73" s="33"/>
    </row>
    <row r="74" spans="2:9" ht="30" customHeight="1" x14ac:dyDescent="0.25">
      <c r="B74" s="32"/>
      <c r="C74" s="43" t="s">
        <v>68</v>
      </c>
      <c r="D74" s="44"/>
      <c r="E74" s="44">
        <v>3251</v>
      </c>
      <c r="F74" s="44">
        <v>5954</v>
      </c>
      <c r="G74" s="45">
        <v>8704</v>
      </c>
      <c r="H74" s="44">
        <f>G74*(1+مفروضات!$E$10)</f>
        <v>12185.599999999999</v>
      </c>
      <c r="I74" s="33"/>
    </row>
    <row r="75" spans="2:9" ht="30" customHeight="1" x14ac:dyDescent="0.25">
      <c r="B75" s="32"/>
      <c r="C75" s="46" t="s">
        <v>69</v>
      </c>
      <c r="D75" s="47"/>
      <c r="E75" s="47">
        <v>0</v>
      </c>
      <c r="F75" s="47">
        <v>3609</v>
      </c>
      <c r="G75" s="48">
        <v>6521</v>
      </c>
      <c r="H75" s="47">
        <f>G75*(1+مفروضات!$E$10)</f>
        <v>9129.4</v>
      </c>
      <c r="I75" s="33"/>
    </row>
    <row r="76" spans="2:9" ht="30" customHeight="1" x14ac:dyDescent="0.25">
      <c r="B76" s="32"/>
      <c r="C76" s="43" t="s">
        <v>70</v>
      </c>
      <c r="D76" s="44"/>
      <c r="E76" s="44">
        <v>3245</v>
      </c>
      <c r="F76" s="44">
        <v>0</v>
      </c>
      <c r="G76" s="45">
        <v>4448</v>
      </c>
      <c r="H76" s="44">
        <f>G76*(1+مفروضات!$E$10)</f>
        <v>6227.2</v>
      </c>
      <c r="I76" s="33"/>
    </row>
    <row r="77" spans="2:9" ht="30" customHeight="1" x14ac:dyDescent="0.25">
      <c r="B77" s="32"/>
      <c r="C77" s="46" t="s">
        <v>71</v>
      </c>
      <c r="D77" s="47"/>
      <c r="E77" s="47">
        <v>0</v>
      </c>
      <c r="F77" s="47">
        <v>0</v>
      </c>
      <c r="G77" s="48">
        <v>0</v>
      </c>
      <c r="H77" s="47">
        <f>G77*(1+مفروضات!$E$10)</f>
        <v>0</v>
      </c>
      <c r="I77" s="33"/>
    </row>
    <row r="78" spans="2:9" ht="30" customHeight="1" x14ac:dyDescent="0.25">
      <c r="B78" s="32"/>
      <c r="C78" s="43" t="s">
        <v>72</v>
      </c>
      <c r="D78" s="44"/>
      <c r="E78" s="44">
        <v>0</v>
      </c>
      <c r="F78" s="44">
        <v>0</v>
      </c>
      <c r="G78" s="45">
        <v>0</v>
      </c>
      <c r="H78" s="44">
        <f>G78*(1+مفروضات!$E$10)</f>
        <v>0</v>
      </c>
      <c r="I78" s="33"/>
    </row>
    <row r="79" spans="2:9" ht="30" customHeight="1" x14ac:dyDescent="0.25">
      <c r="B79" s="32"/>
      <c r="C79" s="46" t="s">
        <v>73</v>
      </c>
      <c r="D79" s="47"/>
      <c r="E79" s="47">
        <v>0</v>
      </c>
      <c r="F79" s="47">
        <v>0</v>
      </c>
      <c r="G79" s="48">
        <v>0</v>
      </c>
      <c r="H79" s="47">
        <f>G79*(1+مفروضات!$E$10)</f>
        <v>0</v>
      </c>
      <c r="I79" s="33"/>
    </row>
    <row r="80" spans="2:9" ht="30" customHeight="1" x14ac:dyDescent="0.25">
      <c r="B80" s="32"/>
      <c r="C80" s="43" t="s">
        <v>74</v>
      </c>
      <c r="D80" s="44"/>
      <c r="E80" s="44">
        <v>18918</v>
      </c>
      <c r="F80" s="44">
        <v>0</v>
      </c>
      <c r="G80" s="45">
        <v>0</v>
      </c>
      <c r="H80" s="44">
        <f>G80*(1+مفروضات!$E$10)</f>
        <v>0</v>
      </c>
      <c r="I80" s="33"/>
    </row>
    <row r="81" spans="2:9" ht="30" customHeight="1" x14ac:dyDescent="0.25">
      <c r="B81" s="32"/>
      <c r="C81" s="46" t="s">
        <v>75</v>
      </c>
      <c r="D81" s="47"/>
      <c r="E81" s="47">
        <v>306862</v>
      </c>
      <c r="F81" s="47">
        <v>398619</v>
      </c>
      <c r="G81" s="48">
        <v>669242</v>
      </c>
      <c r="H81" s="47">
        <f>G81*(1+مفروضات!$E$10)</f>
        <v>936938.79999999993</v>
      </c>
      <c r="I81" s="33"/>
    </row>
    <row r="82" spans="2:9" ht="30" customHeight="1" x14ac:dyDescent="0.25">
      <c r="B82" s="32"/>
      <c r="C82" s="49" t="s">
        <v>23</v>
      </c>
      <c r="D82" s="50"/>
      <c r="E82" s="50">
        <f>SUBTOTAL(109,'بهای تمام شده'!$E$72:$E$81)</f>
        <v>744022</v>
      </c>
      <c r="F82" s="50">
        <f>SUBTOTAL(109,'بهای تمام شده'!$F$72:$F$81)</f>
        <v>945202</v>
      </c>
      <c r="G82" s="51">
        <f>SUBTOTAL(109,'بهای تمام شده'!$G$72:$G$81)</f>
        <v>1519902</v>
      </c>
      <c r="H82" s="51">
        <f>SUBTOTAL(109,$H$72:$H$81)</f>
        <v>2127862.7999999998</v>
      </c>
      <c r="I82" s="33"/>
    </row>
    <row r="83" spans="2:9" ht="30" customHeight="1" x14ac:dyDescent="0.25">
      <c r="B83" s="34"/>
      <c r="C83" s="35"/>
      <c r="D83" s="35"/>
      <c r="E83" s="35"/>
      <c r="F83" s="35"/>
      <c r="G83" s="35"/>
      <c r="H83" s="35"/>
      <c r="I83" s="36"/>
    </row>
    <row r="85" spans="2:9" ht="30" customHeight="1" x14ac:dyDescent="0.25">
      <c r="B85" s="107" t="s">
        <v>26</v>
      </c>
      <c r="C85" s="108"/>
      <c r="D85" s="108"/>
      <c r="E85" s="41"/>
      <c r="F85" s="41"/>
      <c r="G85" s="41"/>
      <c r="H85" s="41"/>
      <c r="I85" s="42"/>
    </row>
    <row r="86" spans="2:9" ht="9.9499999999999993" customHeight="1" x14ac:dyDescent="0.25">
      <c r="B86" s="32"/>
      <c r="I86" s="33"/>
    </row>
    <row r="87" spans="2:9" ht="30" customHeight="1" x14ac:dyDescent="0.25">
      <c r="B87" s="32"/>
      <c r="C87" s="30" t="s">
        <v>1</v>
      </c>
      <c r="D87" s="30" t="s">
        <v>2</v>
      </c>
      <c r="E87" s="31">
        <v>1401</v>
      </c>
      <c r="F87" s="31">
        <v>1402</v>
      </c>
      <c r="G87" s="31">
        <v>1403</v>
      </c>
      <c r="H87" s="31"/>
      <c r="I87" s="33"/>
    </row>
    <row r="88" spans="2:9" ht="30" customHeight="1" x14ac:dyDescent="0.25">
      <c r="B88" s="32"/>
      <c r="C88" s="44" t="s">
        <v>76</v>
      </c>
      <c r="D88" s="44"/>
      <c r="E88" s="44">
        <v>2136280</v>
      </c>
      <c r="F88" s="44">
        <v>2816010</v>
      </c>
      <c r="G88" s="44">
        <v>3380827</v>
      </c>
      <c r="H88" s="44">
        <f>H50</f>
        <v>4542760.4987926446</v>
      </c>
      <c r="I88" s="33"/>
    </row>
    <row r="89" spans="2:9" ht="30" customHeight="1" x14ac:dyDescent="0.25">
      <c r="B89" s="32"/>
      <c r="C89" s="47" t="s">
        <v>77</v>
      </c>
      <c r="D89" s="47"/>
      <c r="E89" s="47">
        <v>535788</v>
      </c>
      <c r="F89" s="47">
        <v>918580</v>
      </c>
      <c r="G89" s="47">
        <v>873734</v>
      </c>
      <c r="H89" s="47">
        <f>G89*(1+مفروضات!$E$10)</f>
        <v>1223227.5999999999</v>
      </c>
      <c r="I89" s="33"/>
    </row>
    <row r="90" spans="2:9" ht="30" customHeight="1" x14ac:dyDescent="0.25">
      <c r="B90" s="32"/>
      <c r="C90" s="44" t="s">
        <v>78</v>
      </c>
      <c r="D90" s="44"/>
      <c r="E90" s="44">
        <v>5298471</v>
      </c>
      <c r="F90" s="44">
        <v>8352854</v>
      </c>
      <c r="G90" s="44">
        <v>11748459</v>
      </c>
      <c r="H90" s="44">
        <f>H66</f>
        <v>17902308.297451742</v>
      </c>
      <c r="I90" s="33"/>
    </row>
    <row r="91" spans="2:9" ht="30" customHeight="1" x14ac:dyDescent="0.25">
      <c r="B91" s="32"/>
      <c r="C91" s="47" t="s">
        <v>23</v>
      </c>
      <c r="D91" s="47"/>
      <c r="E91" s="47">
        <v>7970539</v>
      </c>
      <c r="F91" s="47">
        <v>12087444</v>
      </c>
      <c r="G91" s="47">
        <v>16003020</v>
      </c>
      <c r="H91" s="47">
        <f>SUBTOTAL(109,$H$88:$H$90)</f>
        <v>23668296.396244384</v>
      </c>
      <c r="I91" s="33"/>
    </row>
    <row r="92" spans="2:9" ht="30" customHeight="1" x14ac:dyDescent="0.25">
      <c r="B92" s="32"/>
      <c r="C92" s="44" t="s">
        <v>79</v>
      </c>
      <c r="D92" s="44"/>
      <c r="E92" s="44">
        <v>0</v>
      </c>
      <c r="F92" s="44">
        <v>0</v>
      </c>
      <c r="G92" s="44">
        <v>0</v>
      </c>
      <c r="H92" s="44">
        <v>0</v>
      </c>
      <c r="I92" s="33"/>
    </row>
    <row r="93" spans="2:9" ht="30" customHeight="1" x14ac:dyDescent="0.25">
      <c r="B93" s="32"/>
      <c r="C93" s="47" t="s">
        <v>80</v>
      </c>
      <c r="D93" s="47"/>
      <c r="E93" s="47">
        <v>7970539</v>
      </c>
      <c r="F93" s="47">
        <v>12087444</v>
      </c>
      <c r="G93" s="47">
        <v>16003020</v>
      </c>
      <c r="H93" s="47">
        <f>H91+H92</f>
        <v>23668296.396244384</v>
      </c>
      <c r="I93" s="33"/>
    </row>
    <row r="94" spans="2:9" ht="42" customHeight="1" x14ac:dyDescent="0.25">
      <c r="B94" s="32"/>
      <c r="C94" s="44" t="s">
        <v>81</v>
      </c>
      <c r="D94" s="44"/>
      <c r="E94" s="44">
        <v>-412094</v>
      </c>
      <c r="F94" s="44">
        <v>-594801</v>
      </c>
      <c r="G94" s="44">
        <v>73939</v>
      </c>
      <c r="H94" s="44">
        <v>-1135307</v>
      </c>
      <c r="I94" s="33"/>
    </row>
    <row r="95" spans="2:9" ht="30" customHeight="1" x14ac:dyDescent="0.25">
      <c r="B95" s="32"/>
      <c r="C95" s="47" t="s">
        <v>82</v>
      </c>
      <c r="D95" s="47"/>
      <c r="E95" s="47">
        <v>0</v>
      </c>
      <c r="F95" s="47">
        <v>0</v>
      </c>
      <c r="G95" s="47">
        <v>0</v>
      </c>
      <c r="H95" s="47">
        <v>0</v>
      </c>
      <c r="I95" s="33"/>
    </row>
    <row r="96" spans="2:9" ht="37.5" customHeight="1" x14ac:dyDescent="0.25">
      <c r="B96" s="32"/>
      <c r="C96" s="44" t="s">
        <v>83</v>
      </c>
      <c r="D96" s="44"/>
      <c r="E96" s="44">
        <v>7558445</v>
      </c>
      <c r="F96" s="44">
        <v>11492643</v>
      </c>
      <c r="G96" s="44">
        <v>16076959</v>
      </c>
      <c r="H96" s="44">
        <f>H93+H94+H95</f>
        <v>22532989.396244384</v>
      </c>
      <c r="I96" s="33"/>
    </row>
    <row r="97" spans="2:9" ht="39.75" customHeight="1" x14ac:dyDescent="0.25">
      <c r="B97" s="32"/>
      <c r="C97" s="47" t="s">
        <v>84</v>
      </c>
      <c r="D97" s="47"/>
      <c r="E97" s="47">
        <v>75010</v>
      </c>
      <c r="F97" s="47">
        <v>94981</v>
      </c>
      <c r="G97" s="47">
        <v>97192</v>
      </c>
      <c r="H97" s="47">
        <f>G97</f>
        <v>97192</v>
      </c>
      <c r="I97" s="33"/>
    </row>
    <row r="98" spans="2:9" ht="38.25" customHeight="1" x14ac:dyDescent="0.25">
      <c r="B98" s="32"/>
      <c r="C98" s="44" t="s">
        <v>85</v>
      </c>
      <c r="D98" s="44"/>
      <c r="E98" s="44">
        <v>-94980</v>
      </c>
      <c r="F98" s="44">
        <v>-97192</v>
      </c>
      <c r="G98" s="44">
        <v>-216748</v>
      </c>
      <c r="H98" s="44">
        <f>-H97</f>
        <v>-97192</v>
      </c>
      <c r="I98" s="33"/>
    </row>
    <row r="99" spans="2:9" ht="37.5" customHeight="1" x14ac:dyDescent="0.25">
      <c r="B99" s="32"/>
      <c r="C99" s="47" t="s">
        <v>86</v>
      </c>
      <c r="D99" s="47"/>
      <c r="E99" s="47">
        <v>7538475</v>
      </c>
      <c r="F99" s="47">
        <v>11490432</v>
      </c>
      <c r="G99" s="47">
        <v>15957403</v>
      </c>
      <c r="H99" s="47">
        <f>SUBTOTAL(109,H96:H98)</f>
        <v>22532989.396244384</v>
      </c>
      <c r="I99" s="33"/>
    </row>
    <row r="100" spans="2:9" ht="37.5" customHeight="1" x14ac:dyDescent="0.25">
      <c r="B100" s="32"/>
      <c r="C100" s="44" t="s">
        <v>87</v>
      </c>
      <c r="D100" s="44"/>
      <c r="E100" s="44">
        <v>0</v>
      </c>
      <c r="F100" s="44">
        <v>0</v>
      </c>
      <c r="G100" s="44">
        <v>0</v>
      </c>
      <c r="H100" s="44">
        <v>0</v>
      </c>
      <c r="I100" s="33"/>
    </row>
    <row r="101" spans="2:9" ht="30" customHeight="1" x14ac:dyDescent="0.25">
      <c r="B101" s="32"/>
      <c r="C101" s="49" t="s">
        <v>23</v>
      </c>
      <c r="D101" s="50"/>
      <c r="E101" s="50">
        <f>E99+E100</f>
        <v>7538475</v>
      </c>
      <c r="F101" s="50">
        <f t="shared" ref="F101" si="2">F99+F100</f>
        <v>11490432</v>
      </c>
      <c r="G101" s="50">
        <f>G99+G100</f>
        <v>15957403</v>
      </c>
      <c r="H101" s="50">
        <f>H99+H100</f>
        <v>22532989.396244384</v>
      </c>
      <c r="I101" s="33"/>
    </row>
    <row r="102" spans="2:9" ht="30" customHeight="1" x14ac:dyDescent="0.25">
      <c r="B102" s="34"/>
      <c r="C102" s="35"/>
      <c r="D102" s="35"/>
      <c r="E102" s="35"/>
      <c r="F102" s="35"/>
      <c r="G102" s="35"/>
      <c r="H102" s="35"/>
      <c r="I102" s="36"/>
    </row>
  </sheetData>
  <mergeCells count="7">
    <mergeCell ref="B53:D53"/>
    <mergeCell ref="B69:D69"/>
    <mergeCell ref="B85:D85"/>
    <mergeCell ref="B2:D2"/>
    <mergeCell ref="B18:D18"/>
    <mergeCell ref="B29:D29"/>
    <mergeCell ref="B41:D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8938-AF36-405F-AA22-C9325F4C8AC4}">
  <dimension ref="B2:I35"/>
  <sheetViews>
    <sheetView showGridLines="0" rightToLeft="1" topLeftCell="B1" workbookViewId="0">
      <selection activeCell="H17" sqref="H17"/>
    </sheetView>
  </sheetViews>
  <sheetFormatPr defaultColWidth="15.7109375" defaultRowHeight="30" customHeight="1" x14ac:dyDescent="0.25"/>
  <cols>
    <col min="1" max="2" width="5.7109375" style="1" customWidth="1"/>
    <col min="3" max="3" width="16.28515625" style="1" customWidth="1"/>
    <col min="4" max="4" width="11" style="1" customWidth="1"/>
    <col min="5" max="8" width="15.7109375" style="1" customWidth="1"/>
    <col min="9" max="9" width="5.7109375" style="1" customWidth="1"/>
    <col min="10" max="16384" width="15.7109375" style="1"/>
  </cols>
  <sheetData>
    <row r="2" spans="2:9" ht="30" customHeight="1" x14ac:dyDescent="0.25">
      <c r="B2" s="107" t="s">
        <v>60</v>
      </c>
      <c r="C2" s="108"/>
      <c r="D2" s="108"/>
      <c r="E2" s="41"/>
      <c r="F2" s="41"/>
      <c r="G2" s="41"/>
      <c r="H2" s="41"/>
      <c r="I2" s="42"/>
    </row>
    <row r="3" spans="2:9" ht="9.9499999999999993" customHeight="1" x14ac:dyDescent="0.25">
      <c r="B3" s="32"/>
      <c r="I3" s="33"/>
    </row>
    <row r="4" spans="2:9" ht="30" customHeight="1" x14ac:dyDescent="0.25">
      <c r="B4" s="32"/>
      <c r="C4" s="30" t="s">
        <v>1</v>
      </c>
      <c r="D4" s="30" t="s">
        <v>2</v>
      </c>
      <c r="E4" s="31">
        <v>1401</v>
      </c>
      <c r="F4" s="31">
        <v>1402</v>
      </c>
      <c r="G4" s="31">
        <v>1403</v>
      </c>
      <c r="H4" s="31">
        <v>1404</v>
      </c>
      <c r="I4" s="33"/>
    </row>
    <row r="5" spans="2:9" ht="30" customHeight="1" x14ac:dyDescent="0.25">
      <c r="B5" s="32"/>
      <c r="C5" s="43" t="s">
        <v>102</v>
      </c>
      <c r="D5" s="44" t="s">
        <v>105</v>
      </c>
      <c r="E5" s="44">
        <v>209698</v>
      </c>
      <c r="F5" s="44">
        <v>222406</v>
      </c>
      <c r="G5" s="45">
        <v>229710</v>
      </c>
      <c r="H5" s="82">
        <f>H10*H24</f>
        <v>222591.9529238937</v>
      </c>
      <c r="I5" s="33"/>
    </row>
    <row r="6" spans="2:9" ht="30" customHeight="1" x14ac:dyDescent="0.25">
      <c r="B6" s="32"/>
      <c r="C6" s="46" t="s">
        <v>103</v>
      </c>
      <c r="D6" s="47" t="s">
        <v>106</v>
      </c>
      <c r="E6" s="47">
        <v>143314365</v>
      </c>
      <c r="F6" s="47">
        <v>152932288</v>
      </c>
      <c r="G6" s="48">
        <v>130924181</v>
      </c>
      <c r="H6" s="1">
        <f>H9*H25</f>
        <v>125715056.59999999</v>
      </c>
      <c r="I6" s="33"/>
    </row>
    <row r="7" spans="2:9" ht="30" customHeight="1" x14ac:dyDescent="0.25">
      <c r="B7" s="32"/>
      <c r="C7" s="54" t="s">
        <v>104</v>
      </c>
      <c r="D7" s="47" t="s">
        <v>106</v>
      </c>
      <c r="E7" s="55">
        <v>43934</v>
      </c>
      <c r="F7" s="55">
        <v>49910</v>
      </c>
      <c r="G7" s="56">
        <v>68802</v>
      </c>
      <c r="H7" s="82">
        <f>H9*H26</f>
        <v>70122.575122051843</v>
      </c>
      <c r="I7" s="33"/>
    </row>
    <row r="8" spans="2:9" ht="30" customHeight="1" x14ac:dyDescent="0.25">
      <c r="B8" s="32"/>
      <c r="C8" s="49" t="s">
        <v>23</v>
      </c>
      <c r="D8" s="50"/>
      <c r="E8" s="50">
        <f>SUBTOTAL(109,'هزینه انرژی'!$E$5:$E$6)</f>
        <v>143524063</v>
      </c>
      <c r="F8" s="50">
        <f>SUBTOTAL(109,'هزینه انرژی'!$F$5:$F$6)</f>
        <v>153154694</v>
      </c>
      <c r="G8" s="50">
        <f>SUBTOTAL(109,'هزینه انرژی'!$G$5:$G$6)</f>
        <v>131153891</v>
      </c>
      <c r="H8" s="37">
        <f>SUBTOTAL(109,$H$5:$H$7)</f>
        <v>126007771.12804595</v>
      </c>
      <c r="I8" s="33"/>
    </row>
    <row r="9" spans="2:9" ht="32.25" customHeight="1" x14ac:dyDescent="0.25">
      <c r="B9" s="32"/>
      <c r="C9" s="37" t="s">
        <v>113</v>
      </c>
      <c r="D9" s="37"/>
      <c r="E9" s="37">
        <f>درآمد!E18</f>
        <v>1751474</v>
      </c>
      <c r="F9" s="37">
        <f>درآمد!F18</f>
        <v>1932395</v>
      </c>
      <c r="G9" s="37">
        <f>درآمد!G18</f>
        <v>1881733</v>
      </c>
      <c r="H9" s="37">
        <f>درآمد!H18</f>
        <v>1806770</v>
      </c>
      <c r="I9" s="33"/>
    </row>
    <row r="10" spans="2:9" ht="30" customHeight="1" x14ac:dyDescent="0.25">
      <c r="B10" s="32"/>
      <c r="C10" s="37" t="s">
        <v>100</v>
      </c>
      <c r="D10" s="37"/>
      <c r="E10" s="37">
        <f>درآمد!$E$19</f>
        <v>1810579</v>
      </c>
      <c r="F10" s="37">
        <f>درآمد!$F$19</f>
        <v>2000716</v>
      </c>
      <c r="G10" s="37">
        <f>درآمد!$G$19</f>
        <v>1982280</v>
      </c>
      <c r="H10" s="37">
        <f>درآمد!H19</f>
        <v>1903311.4876552625</v>
      </c>
      <c r="I10" s="33"/>
    </row>
    <row r="11" spans="2:9" ht="30" customHeight="1" x14ac:dyDescent="0.25">
      <c r="B11" s="34"/>
      <c r="C11" s="35"/>
      <c r="D11" s="35"/>
      <c r="E11" s="35"/>
      <c r="F11" s="35"/>
      <c r="G11" s="35"/>
      <c r="H11" s="35"/>
      <c r="I11" s="36"/>
    </row>
    <row r="13" spans="2:9" ht="30" customHeight="1" x14ac:dyDescent="0.25">
      <c r="B13" s="107" t="s">
        <v>61</v>
      </c>
      <c r="C13" s="108"/>
      <c r="D13" s="108"/>
      <c r="E13" s="41"/>
      <c r="F13" s="41"/>
      <c r="G13" s="41"/>
      <c r="H13" s="41"/>
      <c r="I13" s="42"/>
    </row>
    <row r="14" spans="2:9" ht="9.9499999999999993" customHeight="1" x14ac:dyDescent="0.25">
      <c r="B14" s="32"/>
      <c r="I14" s="33"/>
    </row>
    <row r="15" spans="2:9" ht="30" customHeight="1" x14ac:dyDescent="0.25">
      <c r="B15" s="32"/>
      <c r="C15" s="30" t="s">
        <v>1</v>
      </c>
      <c r="D15" s="30" t="s">
        <v>2</v>
      </c>
      <c r="E15" s="31">
        <v>1401</v>
      </c>
      <c r="F15" s="31">
        <v>1402</v>
      </c>
      <c r="G15" s="31">
        <v>1403</v>
      </c>
      <c r="H15" s="31">
        <v>1404</v>
      </c>
      <c r="I15" s="33"/>
    </row>
    <row r="16" spans="2:9" ht="30" customHeight="1" x14ac:dyDescent="0.25">
      <c r="B16" s="32"/>
      <c r="C16" s="43" t="s">
        <v>102</v>
      </c>
      <c r="D16" s="44" t="s">
        <v>6</v>
      </c>
      <c r="E16" s="44">
        <v>1532814</v>
      </c>
      <c r="F16" s="44">
        <v>2399935</v>
      </c>
      <c r="G16" s="45">
        <v>4439902</v>
      </c>
      <c r="H16" s="44">
        <f>G16*(1+مفروضات!$E$9)</f>
        <v>6659853</v>
      </c>
      <c r="I16" s="33"/>
    </row>
    <row r="17" spans="2:9" ht="30" customHeight="1" x14ac:dyDescent="0.25">
      <c r="B17" s="32"/>
      <c r="C17" s="46" t="s">
        <v>103</v>
      </c>
      <c r="D17" s="47" t="s">
        <v>6</v>
      </c>
      <c r="E17" s="47">
        <v>6190</v>
      </c>
      <c r="F17" s="47">
        <v>11737</v>
      </c>
      <c r="G17" s="48">
        <v>11522</v>
      </c>
      <c r="H17" s="47">
        <v>27000</v>
      </c>
      <c r="I17" s="33"/>
    </row>
    <row r="18" spans="2:9" ht="30" customHeight="1" x14ac:dyDescent="0.25">
      <c r="B18" s="32"/>
      <c r="C18" s="54" t="s">
        <v>104</v>
      </c>
      <c r="D18" s="55" t="s">
        <v>6</v>
      </c>
      <c r="E18" s="55">
        <v>8351983</v>
      </c>
      <c r="F18" s="55">
        <v>13911641</v>
      </c>
      <c r="G18" s="56">
        <v>23128368</v>
      </c>
      <c r="H18" s="55">
        <f>G18*(1+مفروضات!$E$9)</f>
        <v>34692552</v>
      </c>
      <c r="I18" s="33"/>
    </row>
    <row r="19" spans="2:9" ht="30" customHeight="1" x14ac:dyDescent="0.25">
      <c r="B19" s="34"/>
      <c r="C19" s="35"/>
      <c r="D19" s="35"/>
      <c r="E19" s="35"/>
      <c r="F19" s="35"/>
      <c r="G19" s="35"/>
      <c r="H19" s="35"/>
      <c r="I19" s="36"/>
    </row>
    <row r="21" spans="2:9" ht="30" customHeight="1" x14ac:dyDescent="0.25">
      <c r="B21" s="107" t="s">
        <v>20</v>
      </c>
      <c r="C21" s="108"/>
      <c r="D21" s="108"/>
      <c r="E21" s="41"/>
      <c r="F21" s="41"/>
      <c r="G21" s="41"/>
      <c r="H21" s="41"/>
      <c r="I21" s="42"/>
    </row>
    <row r="22" spans="2:9" ht="9.9499999999999993" customHeight="1" x14ac:dyDescent="0.25">
      <c r="B22" s="32"/>
      <c r="I22" s="33"/>
    </row>
    <row r="23" spans="2:9" ht="30" customHeight="1" x14ac:dyDescent="0.25">
      <c r="B23" s="32"/>
      <c r="C23" s="30" t="s">
        <v>1</v>
      </c>
      <c r="D23" s="30" t="s">
        <v>2</v>
      </c>
      <c r="E23" s="31">
        <v>1401</v>
      </c>
      <c r="F23" s="31">
        <v>1402</v>
      </c>
      <c r="G23" s="31">
        <v>1403</v>
      </c>
      <c r="H23" s="31">
        <v>1404</v>
      </c>
      <c r="I23" s="33"/>
    </row>
    <row r="24" spans="2:9" ht="30" customHeight="1" x14ac:dyDescent="0.25">
      <c r="B24" s="32"/>
      <c r="C24" s="43" t="s">
        <v>102</v>
      </c>
      <c r="D24" s="83"/>
      <c r="E24" s="83">
        <f>E5/$E$10</f>
        <v>0.11581819959250604</v>
      </c>
      <c r="F24" s="84">
        <f>F5/$F$10</f>
        <v>0.11116320357312082</v>
      </c>
      <c r="G24" s="83">
        <f>G5/$G$10</f>
        <v>0.1158817119680368</v>
      </c>
      <c r="H24" s="83">
        <v>0.116949828952123</v>
      </c>
      <c r="I24" s="33"/>
    </row>
    <row r="25" spans="2:9" ht="30" customHeight="1" x14ac:dyDescent="0.25">
      <c r="B25" s="32"/>
      <c r="C25" s="46" t="s">
        <v>107</v>
      </c>
      <c r="D25" s="85"/>
      <c r="E25" s="85">
        <f>E6/$E$9</f>
        <v>81.825002826190968</v>
      </c>
      <c r="F25" s="85">
        <f>F6/$F$9</f>
        <v>79.14131841574833</v>
      </c>
      <c r="G25" s="85">
        <f>G6/$G$9</f>
        <v>69.576385704029207</v>
      </c>
      <c r="H25" s="85">
        <v>69.58</v>
      </c>
      <c r="I25" s="33"/>
    </row>
    <row r="26" spans="2:9" ht="30" customHeight="1" x14ac:dyDescent="0.25">
      <c r="B26" s="32"/>
      <c r="C26" s="54" t="s">
        <v>104</v>
      </c>
      <c r="D26" s="86"/>
      <c r="E26" s="86">
        <f>E7/$E$9</f>
        <v>2.5084014949693801E-2</v>
      </c>
      <c r="F26" s="87">
        <f>F7/$F$9</f>
        <v>2.5828052753189695E-2</v>
      </c>
      <c r="G26" s="86">
        <f>G7/$G$9</f>
        <v>3.6563104329891648E-2</v>
      </c>
      <c r="H26" s="86">
        <v>3.8811013644266756E-2</v>
      </c>
      <c r="I26" s="33"/>
    </row>
    <row r="27" spans="2:9" ht="30" customHeight="1" x14ac:dyDescent="0.25">
      <c r="B27" s="34"/>
      <c r="C27" s="35"/>
      <c r="D27" s="35"/>
      <c r="E27" s="35"/>
      <c r="F27" s="35"/>
      <c r="G27" s="35"/>
      <c r="H27" s="35"/>
      <c r="I27" s="36"/>
    </row>
    <row r="29" spans="2:9" ht="30" customHeight="1" x14ac:dyDescent="0.25">
      <c r="B29" s="107" t="s">
        <v>62</v>
      </c>
      <c r="C29" s="108"/>
      <c r="D29" s="108"/>
      <c r="E29" s="41"/>
      <c r="F29" s="41"/>
      <c r="G29" s="41"/>
      <c r="H29" s="41"/>
      <c r="I29" s="42"/>
    </row>
    <row r="30" spans="2:9" ht="9.9499999999999993" customHeight="1" x14ac:dyDescent="0.25">
      <c r="B30" s="32"/>
      <c r="I30" s="33"/>
    </row>
    <row r="31" spans="2:9" ht="30" customHeight="1" x14ac:dyDescent="0.25">
      <c r="B31" s="32"/>
      <c r="C31" s="30" t="s">
        <v>1</v>
      </c>
      <c r="D31" s="30" t="s">
        <v>2</v>
      </c>
      <c r="E31" s="31">
        <v>1401</v>
      </c>
      <c r="F31" s="31">
        <v>1402</v>
      </c>
      <c r="G31" s="31">
        <v>1403</v>
      </c>
      <c r="H31" s="31">
        <v>1404</v>
      </c>
      <c r="I31" s="33"/>
    </row>
    <row r="32" spans="2:9" ht="30" customHeight="1" x14ac:dyDescent="0.25">
      <c r="B32" s="32"/>
      <c r="C32" s="43" t="s">
        <v>102</v>
      </c>
      <c r="D32" s="44"/>
      <c r="E32" s="44">
        <v>321428</v>
      </c>
      <c r="F32" s="44">
        <v>533760</v>
      </c>
      <c r="G32" s="45">
        <v>1019890</v>
      </c>
      <c r="H32" s="44">
        <f>(H5*H16)/1000000</f>
        <v>1482429.6854560522</v>
      </c>
      <c r="I32" s="33"/>
    </row>
    <row r="33" spans="2:9" ht="30" customHeight="1" x14ac:dyDescent="0.25">
      <c r="B33" s="32"/>
      <c r="C33" s="46" t="s">
        <v>103</v>
      </c>
      <c r="D33" s="47"/>
      <c r="E33" s="47">
        <v>887145</v>
      </c>
      <c r="F33" s="47">
        <v>1795028</v>
      </c>
      <c r="G33" s="48">
        <v>1508472</v>
      </c>
      <c r="H33" s="47">
        <f>(H6*H17)/1000000</f>
        <v>3394306.5282000001</v>
      </c>
      <c r="I33" s="33"/>
    </row>
    <row r="34" spans="2:9" ht="30" customHeight="1" x14ac:dyDescent="0.25">
      <c r="B34" s="32"/>
      <c r="C34" s="54" t="s">
        <v>104</v>
      </c>
      <c r="D34" s="55"/>
      <c r="E34" s="55">
        <v>366936</v>
      </c>
      <c r="F34" s="55">
        <v>694330</v>
      </c>
      <c r="G34" s="56">
        <v>1591278</v>
      </c>
      <c r="H34" s="55">
        <f>(H7*H18)/1000000</f>
        <v>2432731.08379569</v>
      </c>
      <c r="I34" s="33"/>
    </row>
    <row r="35" spans="2:9" ht="30" customHeight="1" x14ac:dyDescent="0.25">
      <c r="B35" s="34"/>
      <c r="C35" s="37" t="s">
        <v>109</v>
      </c>
      <c r="D35" s="37"/>
      <c r="E35" s="37">
        <f>SUBTOTAL(109,E32:E34)</f>
        <v>1575509</v>
      </c>
      <c r="F35" s="37">
        <f>SUBTOTAL(109,F32:F34)</f>
        <v>3023118</v>
      </c>
      <c r="G35" s="37">
        <f>SUBTOTAL(109,G32:G34)</f>
        <v>4119640</v>
      </c>
      <c r="H35" s="37">
        <f>SUBTOTAL(109,H32:H34)</f>
        <v>7309467.297451742</v>
      </c>
      <c r="I35" s="36"/>
    </row>
  </sheetData>
  <mergeCells count="4">
    <mergeCell ref="B2:D2"/>
    <mergeCell ref="B13:D13"/>
    <mergeCell ref="B21:D21"/>
    <mergeCell ref="B29:D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10DD-2303-42D5-8C4C-F5C68BFCD608}">
  <dimension ref="B2:J22"/>
  <sheetViews>
    <sheetView showGridLines="0" rightToLeft="1" zoomScaleNormal="100" workbookViewId="0">
      <selection activeCell="L18" sqref="L18"/>
    </sheetView>
  </sheetViews>
  <sheetFormatPr defaultRowHeight="30" customHeight="1" x14ac:dyDescent="0.25"/>
  <cols>
    <col min="1" max="1" width="5.7109375" style="1" customWidth="1"/>
    <col min="2" max="2" width="50.7109375" style="1" customWidth="1"/>
    <col min="3" max="6" width="20.7109375" style="1" customWidth="1"/>
    <col min="7" max="16384" width="9.140625" style="1"/>
  </cols>
  <sheetData>
    <row r="2" spans="2:10" ht="42" customHeight="1" x14ac:dyDescent="0.25">
      <c r="B2" s="27" t="s">
        <v>1</v>
      </c>
      <c r="C2" s="27" t="s">
        <v>57</v>
      </c>
      <c r="D2" s="27" t="s">
        <v>58</v>
      </c>
      <c r="E2" s="27" t="s">
        <v>59</v>
      </c>
      <c r="F2" s="27" t="s">
        <v>108</v>
      </c>
    </row>
    <row r="3" spans="2:10" ht="35.1" customHeight="1" x14ac:dyDescent="0.25">
      <c r="B3" s="61" t="s">
        <v>27</v>
      </c>
      <c r="C3" s="62">
        <v>12146108</v>
      </c>
      <c r="D3" s="62">
        <v>18628488</v>
      </c>
      <c r="E3" s="63">
        <v>29635276</v>
      </c>
      <c r="F3" s="63">
        <f>درآمد!H123</f>
        <v>48460307.917889521</v>
      </c>
    </row>
    <row r="4" spans="2:10" ht="35.1" customHeight="1" x14ac:dyDescent="0.25">
      <c r="B4" s="64" t="s">
        <v>28</v>
      </c>
      <c r="C4" s="65">
        <v>-7538475</v>
      </c>
      <c r="D4" s="65">
        <v>-11490432</v>
      </c>
      <c r="E4" s="66">
        <v>-15957403</v>
      </c>
      <c r="F4" s="66">
        <f>-'بهای تمام شده'!H101</f>
        <v>-22532989.396244384</v>
      </c>
    </row>
    <row r="5" spans="2:10" ht="35.1" customHeight="1" x14ac:dyDescent="0.25">
      <c r="B5" s="67" t="s">
        <v>29</v>
      </c>
      <c r="C5" s="68">
        <v>4607633</v>
      </c>
      <c r="D5" s="68">
        <v>7138056</v>
      </c>
      <c r="E5" s="69">
        <v>13677873</v>
      </c>
      <c r="F5" s="69">
        <f>SUBTOTAL(109,'سود و زیان'!$F$3:$F$4)</f>
        <v>25927318.521645136</v>
      </c>
    </row>
    <row r="6" spans="2:10" ht="35.1" customHeight="1" x14ac:dyDescent="0.25">
      <c r="B6" s="61" t="s">
        <v>30</v>
      </c>
      <c r="C6" s="62">
        <v>-744022</v>
      </c>
      <c r="D6" s="62">
        <v>-945202</v>
      </c>
      <c r="E6" s="63">
        <v>-1519902</v>
      </c>
      <c r="F6" s="63">
        <f>-'بهای تمام شده'!H82</f>
        <v>-2127862.7999999998</v>
      </c>
    </row>
    <row r="7" spans="2:10" ht="35.1" customHeight="1" x14ac:dyDescent="0.25">
      <c r="B7" s="64" t="s">
        <v>31</v>
      </c>
      <c r="C7" s="70">
        <v>0</v>
      </c>
      <c r="D7" s="70">
        <v>0</v>
      </c>
      <c r="E7" s="66">
        <v>0</v>
      </c>
      <c r="F7" s="66">
        <v>0</v>
      </c>
    </row>
    <row r="8" spans="2:10" ht="35.1" customHeight="1" x14ac:dyDescent="0.25">
      <c r="B8" s="61" t="s">
        <v>32</v>
      </c>
      <c r="C8" s="71">
        <v>113993</v>
      </c>
      <c r="D8" s="71">
        <v>23256</v>
      </c>
      <c r="E8" s="63">
        <v>859532</v>
      </c>
      <c r="F8" s="63">
        <v>0</v>
      </c>
    </row>
    <row r="9" spans="2:10" ht="35.1" customHeight="1" x14ac:dyDescent="0.25">
      <c r="B9" s="64" t="s">
        <v>33</v>
      </c>
      <c r="C9" s="70">
        <v>0</v>
      </c>
      <c r="D9" s="70">
        <v>0</v>
      </c>
      <c r="E9" s="66">
        <v>0</v>
      </c>
      <c r="F9" s="66">
        <v>0</v>
      </c>
    </row>
    <row r="10" spans="2:10" ht="35.1" customHeight="1" x14ac:dyDescent="0.25">
      <c r="B10" s="72" t="s">
        <v>34</v>
      </c>
      <c r="C10" s="68">
        <v>3977604</v>
      </c>
      <c r="D10" s="68">
        <v>6216110</v>
      </c>
      <c r="E10" s="69">
        <v>13017503</v>
      </c>
      <c r="F10" s="69">
        <f>F5+SUBTOTAL(109,'سود و زیان'!$F$6:$F$9)</f>
        <v>23799455.721645135</v>
      </c>
    </row>
    <row r="11" spans="2:10" ht="35.1" customHeight="1" x14ac:dyDescent="0.25">
      <c r="B11" s="61" t="s">
        <v>35</v>
      </c>
      <c r="C11" s="71">
        <v>-7373</v>
      </c>
      <c r="D11" s="71">
        <v>-307887</v>
      </c>
      <c r="E11" s="63">
        <v>-614711</v>
      </c>
      <c r="F11" s="63">
        <v>-612000</v>
      </c>
    </row>
    <row r="12" spans="2:10" ht="35.1" customHeight="1" x14ac:dyDescent="0.25">
      <c r="B12" s="64" t="s">
        <v>36</v>
      </c>
      <c r="C12" s="70">
        <v>492256</v>
      </c>
      <c r="D12" s="70">
        <v>1706794</v>
      </c>
      <c r="E12" s="66">
        <v>3108460</v>
      </c>
      <c r="F12" s="66">
        <v>1290000</v>
      </c>
    </row>
    <row r="13" spans="2:10" ht="35.1" customHeight="1" x14ac:dyDescent="0.25">
      <c r="B13" s="67" t="s">
        <v>37</v>
      </c>
      <c r="C13" s="68">
        <v>4462487</v>
      </c>
      <c r="D13" s="68">
        <v>7615017</v>
      </c>
      <c r="E13" s="69">
        <v>15511252</v>
      </c>
      <c r="F13" s="69">
        <f>'سود و زیان'!$F$10+SUBTOTAL(109,'سود و زیان'!$F$11:$F$12)</f>
        <v>24477455.721645135</v>
      </c>
    </row>
    <row r="14" spans="2:10" ht="35.1" customHeight="1" x14ac:dyDescent="0.25">
      <c r="B14" s="61" t="s">
        <v>38</v>
      </c>
      <c r="C14" s="71"/>
      <c r="D14" s="71"/>
      <c r="E14" s="63"/>
      <c r="F14" s="63"/>
    </row>
    <row r="15" spans="2:10" ht="35.1" customHeight="1" x14ac:dyDescent="0.25">
      <c r="B15" s="64" t="s">
        <v>39</v>
      </c>
      <c r="C15" s="71">
        <v>-376960</v>
      </c>
      <c r="D15" s="70">
        <v>-999657</v>
      </c>
      <c r="E15" s="73">
        <v>-1289163</v>
      </c>
      <c r="F15" s="73">
        <f>F13*J15</f>
        <v>-1958196.4577316109</v>
      </c>
      <c r="G15" s="94">
        <f>C15/C13</f>
        <v>-8.4473075215681301E-2</v>
      </c>
      <c r="H15" s="94">
        <f t="shared" ref="H15:I15" si="0">D15/D13</f>
        <v>-0.13127442788374602</v>
      </c>
      <c r="I15" s="94">
        <f t="shared" si="0"/>
        <v>-8.3111472884329393E-2</v>
      </c>
      <c r="J15" s="94">
        <v>-0.08</v>
      </c>
    </row>
    <row r="16" spans="2:10" ht="35.1" customHeight="1" x14ac:dyDescent="0.25">
      <c r="B16" s="61" t="s">
        <v>40</v>
      </c>
      <c r="C16" s="71">
        <v>-32221</v>
      </c>
      <c r="D16" s="71">
        <v>-145178</v>
      </c>
      <c r="E16" s="63">
        <v>231612</v>
      </c>
      <c r="F16" s="63"/>
    </row>
    <row r="17" spans="2:6" ht="35.1" customHeight="1" x14ac:dyDescent="0.25">
      <c r="B17" s="67" t="s">
        <v>41</v>
      </c>
      <c r="C17" s="68">
        <v>4053306</v>
      </c>
      <c r="D17" s="68">
        <v>6470182</v>
      </c>
      <c r="E17" s="69">
        <v>14453701</v>
      </c>
      <c r="F17" s="69">
        <f>'سود و زیان'!$F$13+SUBTOTAL(109,'سود و زیان'!$F$14:$F$16)</f>
        <v>22519259.263913523</v>
      </c>
    </row>
    <row r="18" spans="2:6" ht="35.1" customHeight="1" x14ac:dyDescent="0.25">
      <c r="B18" s="61" t="s">
        <v>42</v>
      </c>
      <c r="C18" s="71"/>
      <c r="D18" s="71"/>
      <c r="E18" s="63"/>
      <c r="F18" s="63"/>
    </row>
    <row r="19" spans="2:6" ht="35.1" customHeight="1" x14ac:dyDescent="0.25">
      <c r="B19" s="64" t="s">
        <v>43</v>
      </c>
      <c r="C19" s="70">
        <v>0</v>
      </c>
      <c r="D19" s="70">
        <v>0</v>
      </c>
      <c r="E19" s="66">
        <v>0</v>
      </c>
      <c r="F19" s="66"/>
    </row>
    <row r="20" spans="2:6" ht="35.1" customHeight="1" x14ac:dyDescent="0.25">
      <c r="B20" s="67" t="s">
        <v>44</v>
      </c>
      <c r="C20" s="68">
        <v>4053306</v>
      </c>
      <c r="D20" s="68">
        <v>6470182</v>
      </c>
      <c r="E20" s="69">
        <v>14453701</v>
      </c>
      <c r="F20" s="69">
        <f>'سود و زیان'!$F$17+SUBTOTAL(103,'سود و زیان'!$F$18:$F$19)</f>
        <v>22519259.263913523</v>
      </c>
    </row>
    <row r="21" spans="2:6" ht="35.1" customHeight="1" x14ac:dyDescent="0.25">
      <c r="B21" s="5" t="s">
        <v>45</v>
      </c>
      <c r="C21" s="6">
        <v>3699</v>
      </c>
      <c r="D21" s="6">
        <v>5903</v>
      </c>
      <c r="E21" s="6">
        <v>13227</v>
      </c>
      <c r="F21" s="6">
        <f>F20/F22*1000</f>
        <v>20472.053876285019</v>
      </c>
    </row>
    <row r="22" spans="2:6" ht="35.1" customHeight="1" x14ac:dyDescent="0.25">
      <c r="B22" s="2" t="s">
        <v>46</v>
      </c>
      <c r="C22" s="3">
        <v>1100000</v>
      </c>
      <c r="D22" s="3">
        <v>1100000</v>
      </c>
      <c r="E22" s="4">
        <v>1100000</v>
      </c>
      <c r="F22" s="4">
        <v>1100000</v>
      </c>
    </row>
  </sheetData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FF25-0504-4FBF-BB9B-A970CA9671CC}">
  <dimension ref="B2:C23"/>
  <sheetViews>
    <sheetView showGridLines="0" rightToLeft="1" zoomScaleNormal="100" workbookViewId="0">
      <selection activeCell="G4" sqref="G4"/>
    </sheetView>
  </sheetViews>
  <sheetFormatPr defaultRowHeight="30" customHeight="1" x14ac:dyDescent="0.25"/>
  <cols>
    <col min="1" max="1" width="5.7109375" style="1" customWidth="1"/>
    <col min="2" max="2" width="8.7109375" style="1" customWidth="1"/>
    <col min="3" max="3" width="200.7109375" style="1" customWidth="1"/>
    <col min="4" max="16384" width="9.140625" style="1"/>
  </cols>
  <sheetData>
    <row r="2" spans="2:3" ht="42" customHeight="1" x14ac:dyDescent="0.25">
      <c r="B2" s="39" t="s">
        <v>52</v>
      </c>
      <c r="C2" s="40" t="s">
        <v>51</v>
      </c>
    </row>
    <row r="3" spans="2:3" ht="30" customHeight="1" x14ac:dyDescent="0.25">
      <c r="B3" s="38">
        <v>1</v>
      </c>
      <c r="C3" s="28"/>
    </row>
    <row r="4" spans="2:3" ht="30" customHeight="1" x14ac:dyDescent="0.25">
      <c r="B4" s="38">
        <v>2</v>
      </c>
      <c r="C4" s="28"/>
    </row>
    <row r="5" spans="2:3" ht="30" customHeight="1" x14ac:dyDescent="0.25">
      <c r="B5" s="38">
        <v>3</v>
      </c>
      <c r="C5" s="28"/>
    </row>
    <row r="6" spans="2:3" ht="30" customHeight="1" x14ac:dyDescent="0.25">
      <c r="B6" s="38">
        <v>4</v>
      </c>
      <c r="C6" s="28"/>
    </row>
    <row r="7" spans="2:3" ht="30" customHeight="1" x14ac:dyDescent="0.25">
      <c r="B7" s="38">
        <v>5</v>
      </c>
      <c r="C7" s="28"/>
    </row>
    <row r="8" spans="2:3" ht="30" customHeight="1" x14ac:dyDescent="0.25">
      <c r="B8" s="38">
        <v>6</v>
      </c>
      <c r="C8" s="28"/>
    </row>
    <row r="9" spans="2:3" ht="30" customHeight="1" x14ac:dyDescent="0.25">
      <c r="B9" s="38">
        <v>7</v>
      </c>
      <c r="C9" s="28"/>
    </row>
    <row r="10" spans="2:3" ht="30" customHeight="1" x14ac:dyDescent="0.25">
      <c r="B10" s="38">
        <v>8</v>
      </c>
      <c r="C10" s="28"/>
    </row>
    <row r="11" spans="2:3" ht="30" customHeight="1" x14ac:dyDescent="0.25">
      <c r="B11" s="38">
        <v>9</v>
      </c>
      <c r="C11" s="28"/>
    </row>
    <row r="12" spans="2:3" ht="30" customHeight="1" x14ac:dyDescent="0.25">
      <c r="B12" s="38">
        <v>10</v>
      </c>
      <c r="C12" s="28"/>
    </row>
    <row r="13" spans="2:3" ht="35.1" customHeight="1" x14ac:dyDescent="0.25"/>
    <row r="14" spans="2:3" ht="35.1" customHeight="1" x14ac:dyDescent="0.25"/>
    <row r="15" spans="2:3" ht="35.1" customHeight="1" x14ac:dyDescent="0.25"/>
    <row r="16" spans="2:3" ht="35.1" customHeight="1" x14ac:dyDescent="0.25"/>
    <row r="17" ht="35.1" customHeight="1" x14ac:dyDescent="0.25"/>
    <row r="18" ht="35.1" customHeight="1" x14ac:dyDescent="0.25"/>
    <row r="19" ht="35.1" customHeight="1" x14ac:dyDescent="0.25"/>
    <row r="20" ht="35.1" customHeight="1" x14ac:dyDescent="0.25"/>
    <row r="21" ht="35.1" customHeight="1" x14ac:dyDescent="0.25"/>
    <row r="22" ht="35.1" customHeight="1" x14ac:dyDescent="0.25"/>
    <row r="23" ht="35.1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مفروضات</vt:lpstr>
      <vt:lpstr>درآمد</vt:lpstr>
      <vt:lpstr>بهای تمام شده</vt:lpstr>
      <vt:lpstr>هزینه انرژی</vt:lpstr>
      <vt:lpstr>سود و زیان</vt:lpstr>
      <vt:lpstr>اطلاعات تکمیلی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2025-01-25T05:36:17Z</dcterms:created>
  <dcterms:modified xsi:type="dcterms:W3CDTF">2025-07-23T10:45:12Z</dcterms:modified>
</cp:coreProperties>
</file>